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35" windowHeight="8850" tabRatio="747" activeTab="0"/>
  </bookViews>
  <sheets>
    <sheet name="2-4 класс" sheetId="1" r:id="rId1"/>
    <sheet name="6-9 класс" sheetId="2" r:id="rId2"/>
    <sheet name="10-11 класс" sheetId="3" r:id="rId3"/>
  </sheets>
  <definedNames/>
  <calcPr fullCalcOnLoad="1"/>
</workbook>
</file>

<file path=xl/sharedStrings.xml><?xml version="1.0" encoding="utf-8"?>
<sst xmlns="http://schemas.openxmlformats.org/spreadsheetml/2006/main" count="157" uniqueCount="126">
  <si>
    <t>рег. номер участника</t>
  </si>
  <si>
    <t>Фамилия Имя, ОУ, город</t>
  </si>
  <si>
    <t>Итог</t>
  </si>
  <si>
    <t>Место</t>
  </si>
  <si>
    <r>
      <t xml:space="preserve">Зарегистрированные участники во II On-line Олимпиаде по Русскому языку </t>
    </r>
    <r>
      <rPr>
        <b/>
        <sz val="12"/>
        <color indexed="62"/>
        <rFont val="Arial Cyr"/>
        <family val="0"/>
      </rPr>
      <t>2-4 класс</t>
    </r>
  </si>
  <si>
    <t>Шплис Диана, МОУ СОШ № 41 , г Томск , 10класс.</t>
  </si>
  <si>
    <t>Васькина Ксения , МОУ "Киржеманская СОШ", Мордовия, Чамзинский р-н, 3 класс</t>
  </si>
  <si>
    <t>Целищева Нелли, гимназия 3, г. Пермь, 2Б класс</t>
  </si>
  <si>
    <t>Омельянчук Алиса, гимназия 3, г. Пермь, 2Б класс</t>
  </si>
  <si>
    <t>Воробьева Милена, гимназия 3, г. Пермь, 2Б класс</t>
  </si>
  <si>
    <t>Вдовиченко Никита, гимназия 3, г. Пермь, 2Б класс</t>
  </si>
  <si>
    <t>Макаренкова Александра, гимназия 3, г. Пермь, 2Б класс</t>
  </si>
  <si>
    <t>Кустова Юлия, гимназия 3, г. Пермь, 2Б класс</t>
  </si>
  <si>
    <t>Черемных Дарья, гимназия 3, г. Пермь, 2Б класс</t>
  </si>
  <si>
    <t>Пикулева Полина, гимназия 3, г. Пермь, 2Б класс</t>
  </si>
  <si>
    <t>Селиванов Артём, гимназия 3, г. Пермь, 2Б класс</t>
  </si>
  <si>
    <t>Змазнов Егор, гимназия 3, г. Пермь, 2Б класс</t>
  </si>
  <si>
    <t>Лазарева Диана, гимназия 3, г. Пермь, 2Б класс</t>
  </si>
  <si>
    <t>Крыласова ольга, гимназия 3, г. Пермь, 2Б класс</t>
  </si>
  <si>
    <t>Кривощекова Валерия, гимназия 3, г. Пермь, 2Б класс</t>
  </si>
  <si>
    <t>Голебев Александ Вячеславович, Моу СОШ N67, г. Воронеж, 3 класс</t>
  </si>
  <si>
    <t>Чернова Светлана, школа с. Шеркалы, 11 класс</t>
  </si>
  <si>
    <t>Батеньков Николай, школа с. Шеркалы, 11 класс</t>
  </si>
  <si>
    <t>Столбов Иван, школа с. Шеркалы, 11 класс</t>
  </si>
  <si>
    <t>Железнякова Лидия, школа с. Шеркалы, 11 класс</t>
  </si>
  <si>
    <t>Чумакова Марина, школа с. Шеркалы, 11 класс</t>
  </si>
  <si>
    <t>Степаненко Софья, школа с. Шеркалы, 11 класс</t>
  </si>
  <si>
    <t>Сычева Анастасия, школа с. Шеркалы, 11 класс</t>
  </si>
  <si>
    <t>Овчинникова Кристина, школа с. Шеркалы, 11 класс</t>
  </si>
  <si>
    <t>Копытова Екатерина, школа с. Шеркалы, 11 класс</t>
  </si>
  <si>
    <t>Шушарина Анастасия, школа с. Шеркалы, 8 класс</t>
  </si>
  <si>
    <t>Трибус Екатерина, школа с. Шеркалы, 8 класс</t>
  </si>
  <si>
    <t>Ганиева Эльвина , СОШ №7, г.Заинск,6 класс</t>
  </si>
  <si>
    <t>Давыдова Анна, СОШ №7, г.Заинск,8 класс</t>
  </si>
  <si>
    <t>Новак Никита, МОУ "Гальбштадтская СОШ", с.Гальбштадт, 4 Б класс</t>
  </si>
  <si>
    <t>Решетова Александра, МОУ «Гимназия №7», г.Батайск, 3 класс</t>
  </si>
  <si>
    <t>Иванкина Екатерина, МОУ «Гимназия №7», г.Батайск, 3 класс</t>
  </si>
  <si>
    <t>Шварченко Виталия, МОУ СОШ №95, Краснодар, 11 класс</t>
  </si>
  <si>
    <t>Карасев Владислав, МОУ СОШ №95, Краснодар, 8 класс</t>
  </si>
  <si>
    <t>Литвинова Олеся, МОУ СОШ №95, Краснодар, 8 класс</t>
  </si>
  <si>
    <t>Грунтов Денис,МОУ СОШ №95, Краснодар, 8 класс</t>
  </si>
  <si>
    <t xml:space="preserve">Кашипова Алия, СОШ №7, г. Заинск, 8 класс </t>
  </si>
  <si>
    <t xml:space="preserve">Бардиж Евгения,-МОУ СОШ №95, Краснодар, 6 класс- </t>
  </si>
  <si>
    <t>Егорова Софья, МОУ Сергиевская СОШ 1, 2 класс</t>
  </si>
  <si>
    <t>Мурзова Алина, МОУ Сергиевская СОШ 1, 2 класс</t>
  </si>
  <si>
    <t>Шишова Виктория, МОУ Сергиевская СОШ 1, 2 класс</t>
  </si>
  <si>
    <t>Долбилин Сергей, МОУ Сергиевская СОШ 1, 2 класс</t>
  </si>
  <si>
    <t>Иванов Владислав, МОУ Сергиевская СОШ 1, 2 класс</t>
  </si>
  <si>
    <t>Годоба Дарья, МОУ Сергиевская СОШ 1, 3 класс</t>
  </si>
  <si>
    <t>Родионова Анастасия,МОУ Сергиевская СОШ 1, 3 класс</t>
  </si>
  <si>
    <t>Кузьмин Владимир, МОУ Сергиевская СОШ 1, 4 класс</t>
  </si>
  <si>
    <t>Дурникова Полина, МОУ Сергиевская СОШ 1, 4 класс</t>
  </si>
  <si>
    <t>Кудрявцева Марина, МОУ СОШ 1 г. Кунгур, 3 класс</t>
  </si>
  <si>
    <t>Ладейщикова Маша, МОУ СОШ 1 г. Кунгур, 3 класс</t>
  </si>
  <si>
    <t>Мальгина Дарья, МОУ СОШ 1 г. Кунгур, 3 класс</t>
  </si>
  <si>
    <t>Скороходова Диана, МОУ СОШ 1 г. Кунгур, 3 класс</t>
  </si>
  <si>
    <t>Ушаков Артемий, МОУ СОШ 1 г. Кунгур, 3 класс</t>
  </si>
  <si>
    <t>Федорова Ирина, МОУ СОШ 1 г. Кунгур, 3 класс</t>
  </si>
  <si>
    <t>Трапезников Семен, МОУ СОШ 1 г. Кунгур, 3 класс</t>
  </si>
  <si>
    <t>Мелишников Даниил, лицей 9, г. Волгоград, 3а класс</t>
  </si>
  <si>
    <t xml:space="preserve">Стролис Яна, лицей 9, г. Волгоград, 3в класс </t>
  </si>
  <si>
    <t>Кривошеев Илья, лицей 9, г. Волгоград, 3д класс</t>
  </si>
  <si>
    <t>Басюк Арина, лицей 9, г. Волгоград, 3д класс</t>
  </si>
  <si>
    <t>Квасников Кирилл, лицей 9, г. Волгоград, 3е класс</t>
  </si>
  <si>
    <t>Гурский Андрей, МОУ прогимназия "Кристаллик", г. Саратов, 3 класс</t>
  </si>
  <si>
    <t>Федорова Вероника, МОУ прогимназия "Кристаллик", г. Саратов, 3 класс</t>
  </si>
  <si>
    <t xml:space="preserve">Жвания Виктория, МОУ прогимназия "Кристаллик", г. Саратов, 4 "А" класс </t>
  </si>
  <si>
    <t>Пыхтин Артем, МОУ прогимназия "Кристаллик", г. Саратов, 4 "А" класс</t>
  </si>
  <si>
    <t>Цитцер Максим, МОУ прогимназия "Кристаллик", г. Саратов, 4 "А" класс</t>
  </si>
  <si>
    <t>Енина Елена Ивановна, МОУ «Средняя общеобразовательная школа г.Бирюча», г. Бирюч, 6 класс «А»</t>
  </si>
  <si>
    <t xml:space="preserve">Корж Ирина, КГООУ "Железногорская санаторно-лесня школа", Красноярский край, г. Железногорск, 10 класс </t>
  </si>
  <si>
    <t>Мунтянова Екатерина, Лицей №1, г. Норильск, 8 класс</t>
  </si>
  <si>
    <t>Нестерова Екатерина, Лицей №1, г. Норильск, 8 класс</t>
  </si>
  <si>
    <t>Маркина Ольга, "МОУ СОШ 9", г. Усть-Илимск, 2а класс</t>
  </si>
  <si>
    <t>Пискуненко Алина, МОУ "СОШ 11", г. Усть-Илимск, 3в класс</t>
  </si>
  <si>
    <t>Кудрич Снежана, МОУ "СОШ 11", г. Усть-Илимск, 3а класс</t>
  </si>
  <si>
    <t>Запольских Анна, МОУ "СОШ 11", г. Усть-Илимск, 4а класс</t>
  </si>
  <si>
    <t>Недорезова Екатерина , МОУ СОШ №95, Краснодар, 10 класс</t>
  </si>
  <si>
    <t xml:space="preserve">Шимохин Виталий, СОШ №7, г. Красноярск, 9 класс «С» </t>
  </si>
  <si>
    <r>
      <t xml:space="preserve">Богданова Лиза 6б </t>
    </r>
    <r>
      <rPr>
        <sz val="9"/>
        <color indexed="8"/>
        <rFont val="Times New Roman"/>
        <family val="1"/>
      </rPr>
      <t xml:space="preserve">класс МОУ СОШ № 26 </t>
    </r>
  </si>
  <si>
    <t>Городницкая Елена 4а класс средняя школа № 5, г.
Кувандык</t>
  </si>
  <si>
    <t>Кузаева Юлия 4а класс средняя школа № 5, г.
Кувандык</t>
  </si>
  <si>
    <t>Колесников Павел 4 б класс средняя школа № 5, г.
Кувандык</t>
  </si>
  <si>
    <t>Пластовец Татьяна 4 б класс средняя школа № 5, г.
Кувандык</t>
  </si>
  <si>
    <t>Маслов Кирилл 2 а класс средняя школа № 5, г.
Кувандык</t>
  </si>
  <si>
    <t xml:space="preserve">Чуринов Даниил, МОУ СОШ №30, Иркутск, 6В класс </t>
  </si>
  <si>
    <t xml:space="preserve">Третьяков Коля, МОУ СОШ №30, Иркутск, 6В класс </t>
  </si>
  <si>
    <t xml:space="preserve">Ревунов Дима, МОУ СОШ №30, Иркутск, 6В класс </t>
  </si>
  <si>
    <t xml:space="preserve">Лазарев Евгений, МОУ СОШ №30, Иркутск, 6В класс </t>
  </si>
  <si>
    <t xml:space="preserve">Зиновьев Сергей, МОУ СОШ №30, Иркутск, 6А класс </t>
  </si>
  <si>
    <t xml:space="preserve">Джума Микаэл, МОУ СОШ №30, Иркутск, 6А класс </t>
  </si>
  <si>
    <t xml:space="preserve">Горин Иван, МОУ СОШ №30, Иркутск, 6А класс </t>
  </si>
  <si>
    <t xml:space="preserve">Царьков Саша, МОУ СОШ №30, Иркутск, 10А класс </t>
  </si>
  <si>
    <t xml:space="preserve">Краев Денис, МОУ СОШ №30, Иркутск, 10А класс </t>
  </si>
  <si>
    <t xml:space="preserve">Терина Катя, МОУ СОШ №30, Иркутск, 10А класс </t>
  </si>
  <si>
    <t>Бухарина Светлана , гимназия № 9, г. Железнодорожный, Московская обл., 2 класс.</t>
  </si>
  <si>
    <t>Горбель Анна, Лицей №1, г. Норильск, 9 класс</t>
  </si>
  <si>
    <t>Ипполитова Ольга, Лицей №1, г. Норильск, 9 класс</t>
  </si>
  <si>
    <t>Гончарова Вероника, Лицей №1, г. Норильск, 9 класс</t>
  </si>
  <si>
    <t xml:space="preserve">Казаков Евгений, лицей 73, г. Пенза, 6 класс </t>
  </si>
  <si>
    <t xml:space="preserve">Демин Никита, МОУ СОШ №30, Иркутск, 10А класс </t>
  </si>
  <si>
    <t>Махонин Кирилл, 4 класс МОУ СОШ№1, г Александровск</t>
  </si>
  <si>
    <t>лексика</t>
  </si>
  <si>
    <t>морфемика</t>
  </si>
  <si>
    <t>морфология</t>
  </si>
  <si>
    <t>орфография</t>
  </si>
  <si>
    <t>синтаксис</t>
  </si>
  <si>
    <t>орфоэпия</t>
  </si>
  <si>
    <t>стилистика</t>
  </si>
  <si>
    <t>пунктуация</t>
  </si>
  <si>
    <t>фонетика</t>
  </si>
  <si>
    <t>графика</t>
  </si>
  <si>
    <t>максимальные баллы для 2 класса</t>
  </si>
  <si>
    <t>максимальные баллы для 3 класса</t>
  </si>
  <si>
    <t>максимальные баллы для 4 класса</t>
  </si>
  <si>
    <t>максимальные баллы для 6 класса</t>
  </si>
  <si>
    <t>максимальные баллы для 8 класса</t>
  </si>
  <si>
    <t>максимальные баллы для 9 класса</t>
  </si>
  <si>
    <t>худ.изобр. ср-ва языка</t>
  </si>
  <si>
    <t>максимальные баллы для 10 класса</t>
  </si>
  <si>
    <t>максимальные баллы для 11 класса</t>
  </si>
  <si>
    <t>% выполнения</t>
  </si>
  <si>
    <t xml:space="preserve">победитель </t>
  </si>
  <si>
    <t>лауреат</t>
  </si>
  <si>
    <t>победитель</t>
  </si>
  <si>
    <t xml:space="preserve">лауреат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</si>
</sst>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р_."/>
  </numFmts>
  <fonts count="28">
    <font>
      <sz val="10"/>
      <name val="Arial Cyr"/>
      <family val="0"/>
    </font>
    <font>
      <sz val="12"/>
      <color indexed="6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6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 horizontal="justify" wrapText="1"/>
    </xf>
    <xf numFmtId="0" fontId="1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horizontal="justify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27" fillId="0" borderId="11" xfId="0" applyNumberFormat="1" applyFont="1" applyFill="1" applyBorder="1" applyAlignment="1">
      <alignment horizontal="center" wrapText="1"/>
    </xf>
    <xf numFmtId="1" fontId="27" fillId="0" borderId="11" xfId="0" applyNumberFormat="1" applyFont="1" applyFill="1" applyBorder="1" applyAlignment="1">
      <alignment wrapText="1"/>
    </xf>
    <xf numFmtId="2" fontId="27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12.125" style="2" customWidth="1"/>
    <col min="2" max="2" width="59.375" style="15" customWidth="1"/>
    <col min="3" max="6" width="11.875" style="15" customWidth="1"/>
    <col min="7" max="7" width="12.625" style="15" customWidth="1"/>
    <col min="8" max="9" width="13.375" style="3" customWidth="1"/>
    <col min="10" max="10" width="16.625" style="3" customWidth="1"/>
  </cols>
  <sheetData>
    <row r="1" ht="12.75" customHeight="1"/>
    <row r="2" spans="1:10" ht="15.75" customHeight="1">
      <c r="A2" s="1" t="s">
        <v>4</v>
      </c>
      <c r="B2" s="16"/>
      <c r="C2" s="16"/>
      <c r="D2" s="16"/>
      <c r="E2" s="16"/>
      <c r="F2" s="16"/>
      <c r="G2" s="16"/>
      <c r="H2" s="4"/>
      <c r="I2" s="4"/>
      <c r="J2" s="4"/>
    </row>
    <row r="3" ht="13.5" customHeight="1" thickBot="1"/>
    <row r="4" spans="1:10" s="7" customFormat="1" ht="30.75" customHeight="1" thickBot="1">
      <c r="A4" s="6" t="s">
        <v>0</v>
      </c>
      <c r="B4" s="17" t="s">
        <v>1</v>
      </c>
      <c r="C4" s="6" t="s">
        <v>110</v>
      </c>
      <c r="D4" s="6" t="s">
        <v>111</v>
      </c>
      <c r="E4" s="6" t="s">
        <v>102</v>
      </c>
      <c r="F4" s="6" t="s">
        <v>103</v>
      </c>
      <c r="G4" s="6" t="s">
        <v>104</v>
      </c>
      <c r="H4" s="5" t="s">
        <v>2</v>
      </c>
      <c r="I4" s="5" t="s">
        <v>121</v>
      </c>
      <c r="J4" s="6" t="s">
        <v>3</v>
      </c>
    </row>
    <row r="5" spans="1:10" s="7" customFormat="1" ht="30.75" customHeight="1" thickBot="1">
      <c r="A5" s="32"/>
      <c r="B5" s="34" t="s">
        <v>112</v>
      </c>
      <c r="C5" s="37">
        <v>4.7</v>
      </c>
      <c r="D5" s="37">
        <v>4</v>
      </c>
      <c r="E5" s="37">
        <v>4</v>
      </c>
      <c r="F5" s="37">
        <v>6</v>
      </c>
      <c r="G5" s="37">
        <v>6</v>
      </c>
      <c r="H5" s="37">
        <f aca="true" t="shared" si="0" ref="H5:H36">SUM(C5:G5)</f>
        <v>24.7</v>
      </c>
      <c r="I5" s="37"/>
      <c r="J5" s="32"/>
    </row>
    <row r="6" spans="1:10" s="7" customFormat="1" ht="30.75" customHeight="1" thickBot="1">
      <c r="A6" s="32"/>
      <c r="B6" s="34" t="s">
        <v>113</v>
      </c>
      <c r="C6" s="37">
        <v>6</v>
      </c>
      <c r="D6" s="37">
        <v>3.6</v>
      </c>
      <c r="E6" s="37">
        <v>6.6</v>
      </c>
      <c r="F6" s="37">
        <v>6</v>
      </c>
      <c r="G6" s="37">
        <v>5</v>
      </c>
      <c r="H6" s="37">
        <f t="shared" si="0"/>
        <v>27.2</v>
      </c>
      <c r="I6" s="37"/>
      <c r="J6" s="32"/>
    </row>
    <row r="7" spans="1:10" s="7" customFormat="1" ht="30.75" customHeight="1" thickBot="1">
      <c r="A7" s="32"/>
      <c r="B7" s="34" t="s">
        <v>114</v>
      </c>
      <c r="C7" s="37">
        <v>9.7</v>
      </c>
      <c r="D7" s="37">
        <v>8</v>
      </c>
      <c r="E7" s="37">
        <v>6</v>
      </c>
      <c r="F7" s="37">
        <v>6.3</v>
      </c>
      <c r="G7" s="37">
        <v>7.5</v>
      </c>
      <c r="H7" s="37">
        <f t="shared" si="0"/>
        <v>37.5</v>
      </c>
      <c r="I7" s="37"/>
      <c r="J7" s="32"/>
    </row>
    <row r="8" spans="1:10" s="7" customFormat="1" ht="30.75" customHeight="1" thickBot="1">
      <c r="A8" s="33">
        <v>119</v>
      </c>
      <c r="B8" s="35" t="s">
        <v>73</v>
      </c>
      <c r="C8" s="38">
        <f>2+2+0.7</f>
        <v>4.7</v>
      </c>
      <c r="D8" s="38">
        <f>1+1+2</f>
        <v>4</v>
      </c>
      <c r="E8" s="38">
        <f>2+1+1</f>
        <v>4</v>
      </c>
      <c r="F8" s="38">
        <f>2+2+2</f>
        <v>6</v>
      </c>
      <c r="G8" s="38">
        <f>2+2+2</f>
        <v>6</v>
      </c>
      <c r="H8" s="40">
        <f t="shared" si="0"/>
        <v>24.7</v>
      </c>
      <c r="I8" s="41">
        <v>100</v>
      </c>
      <c r="J8" s="43" t="s">
        <v>124</v>
      </c>
    </row>
    <row r="9" spans="1:10" s="7" customFormat="1" ht="30.75" customHeight="1" thickBot="1">
      <c r="A9" s="33">
        <v>150</v>
      </c>
      <c r="B9" s="36" t="s">
        <v>80</v>
      </c>
      <c r="C9" s="39">
        <f>3+2+2+2+0.7</f>
        <v>9.7</v>
      </c>
      <c r="D9" s="39">
        <f>2+1+1+2+2</f>
        <v>8</v>
      </c>
      <c r="E9" s="39">
        <f>1+1.5+1.5+1+2</f>
        <v>7</v>
      </c>
      <c r="F9" s="39">
        <f>2.5+1.5+0.5+0.4+0.6</f>
        <v>5.5</v>
      </c>
      <c r="G9" s="39">
        <f>2+1+1.5+1+1.5</f>
        <v>7</v>
      </c>
      <c r="H9" s="39">
        <f t="shared" si="0"/>
        <v>37.2</v>
      </c>
      <c r="I9" s="42">
        <v>99</v>
      </c>
      <c r="J9" s="33" t="s">
        <v>124</v>
      </c>
    </row>
    <row r="10" spans="1:10" s="7" customFormat="1" ht="30.75" customHeight="1" thickBot="1">
      <c r="A10" s="33">
        <v>120</v>
      </c>
      <c r="B10" s="35" t="s">
        <v>6</v>
      </c>
      <c r="C10" s="38">
        <f>2+2+1</f>
        <v>5</v>
      </c>
      <c r="D10" s="38">
        <f>1+2+1</f>
        <v>4</v>
      </c>
      <c r="E10" s="38">
        <f>2+2+2</f>
        <v>6</v>
      </c>
      <c r="F10" s="38">
        <f>2+2+2</f>
        <v>6</v>
      </c>
      <c r="G10" s="38">
        <f>1+2+2</f>
        <v>5</v>
      </c>
      <c r="H10" s="40">
        <f t="shared" si="0"/>
        <v>26</v>
      </c>
      <c r="I10" s="41">
        <v>96</v>
      </c>
      <c r="J10" s="33" t="s">
        <v>122</v>
      </c>
    </row>
    <row r="11" spans="1:12" ht="24.75" customHeight="1" thickBot="1">
      <c r="A11" s="13">
        <v>149</v>
      </c>
      <c r="B11" s="18" t="s">
        <v>76</v>
      </c>
      <c r="C11" s="22">
        <f>3+1+2+2+0.6</f>
        <v>8.6</v>
      </c>
      <c r="D11" s="22">
        <f>1+1+1+2+1.5</f>
        <v>6.5</v>
      </c>
      <c r="E11" s="22">
        <f>1.2+1.5+1.5+1+1</f>
        <v>6.2</v>
      </c>
      <c r="F11" s="22">
        <f>2+1.5+1+0.7+0.5</f>
        <v>5.7</v>
      </c>
      <c r="G11" s="22">
        <f>2+1+1+1+1</f>
        <v>6</v>
      </c>
      <c r="H11" s="22">
        <f t="shared" si="0"/>
        <v>33</v>
      </c>
      <c r="I11" s="30">
        <v>88</v>
      </c>
      <c r="J11" s="27" t="s">
        <v>125</v>
      </c>
      <c r="K11" s="12"/>
      <c r="L11" s="12"/>
    </row>
    <row r="12" spans="1:12" ht="24.75" customHeight="1" thickBot="1">
      <c r="A12" s="13">
        <v>122</v>
      </c>
      <c r="B12" s="14" t="s">
        <v>35</v>
      </c>
      <c r="C12" s="25">
        <f>1+2+2</f>
        <v>5</v>
      </c>
      <c r="D12" s="25">
        <f>1+2+0.6</f>
        <v>3.6</v>
      </c>
      <c r="E12" s="25">
        <f>1+2+1</f>
        <v>4</v>
      </c>
      <c r="F12" s="25">
        <f>2+2+2</f>
        <v>6</v>
      </c>
      <c r="G12" s="25">
        <f>1+2+2</f>
        <v>5</v>
      </c>
      <c r="H12" s="26">
        <f t="shared" si="0"/>
        <v>23.6</v>
      </c>
      <c r="I12" s="31">
        <v>87</v>
      </c>
      <c r="J12" s="27" t="s">
        <v>125</v>
      </c>
      <c r="K12" s="12"/>
      <c r="L12" s="12"/>
    </row>
    <row r="13" spans="1:12" ht="24.75" customHeight="1" thickBot="1">
      <c r="A13" s="13">
        <v>123</v>
      </c>
      <c r="B13" s="18" t="s">
        <v>36</v>
      </c>
      <c r="C13" s="22">
        <f>1+2+2</f>
        <v>5</v>
      </c>
      <c r="D13" s="22">
        <f>1+2+0.6</f>
        <v>3.6</v>
      </c>
      <c r="E13" s="22">
        <f>1+2+1</f>
        <v>4</v>
      </c>
      <c r="F13" s="22">
        <f>2+2+2</f>
        <v>6</v>
      </c>
      <c r="G13" s="22">
        <f>1+2+2</f>
        <v>5</v>
      </c>
      <c r="H13" s="22">
        <f t="shared" si="0"/>
        <v>23.6</v>
      </c>
      <c r="I13" s="30">
        <v>87</v>
      </c>
      <c r="J13" s="27" t="s">
        <v>125</v>
      </c>
      <c r="K13" s="12"/>
      <c r="L13" s="12"/>
    </row>
    <row r="14" spans="1:10" ht="24.75" customHeight="1" thickBot="1">
      <c r="A14" s="13">
        <v>143</v>
      </c>
      <c r="B14" s="18" t="s">
        <v>34</v>
      </c>
      <c r="C14" s="22">
        <f>3+1+1+2+0.7</f>
        <v>7.7</v>
      </c>
      <c r="D14" s="22">
        <f>2+1+1+2+2</f>
        <v>8</v>
      </c>
      <c r="E14" s="22">
        <f>0+1.5+1.5+1+2</f>
        <v>6</v>
      </c>
      <c r="F14" s="22">
        <f>2.5+0+0.5+0.6+0.6</f>
        <v>4.2</v>
      </c>
      <c r="G14" s="22">
        <f>2+1+0.5+1+1</f>
        <v>5.5</v>
      </c>
      <c r="H14" s="22">
        <f t="shared" si="0"/>
        <v>31.4</v>
      </c>
      <c r="I14" s="30">
        <v>84</v>
      </c>
      <c r="J14" s="27">
        <v>6</v>
      </c>
    </row>
    <row r="15" spans="1:10" ht="24.75" customHeight="1" thickBot="1">
      <c r="A15" s="13">
        <v>132</v>
      </c>
      <c r="B15" s="18" t="s">
        <v>58</v>
      </c>
      <c r="C15" s="22">
        <f>1+2+1</f>
        <v>4</v>
      </c>
      <c r="D15" s="22">
        <f>1+2+0.3</f>
        <v>3.3</v>
      </c>
      <c r="E15" s="22">
        <f>2+2+2</f>
        <v>6</v>
      </c>
      <c r="F15" s="22">
        <f>0.5+2+2</f>
        <v>4.5</v>
      </c>
      <c r="G15" s="22">
        <f>1+2+2</f>
        <v>5</v>
      </c>
      <c r="H15" s="22">
        <f t="shared" si="0"/>
        <v>22.8</v>
      </c>
      <c r="I15" s="30">
        <v>84</v>
      </c>
      <c r="J15" s="27">
        <v>6</v>
      </c>
    </row>
    <row r="16" spans="1:10" ht="24.75" customHeight="1" thickBot="1">
      <c r="A16" s="13">
        <v>135</v>
      </c>
      <c r="B16" s="18" t="s">
        <v>61</v>
      </c>
      <c r="C16" s="22">
        <f>1+2+1</f>
        <v>4</v>
      </c>
      <c r="D16" s="22">
        <f>1+2+0</f>
        <v>3</v>
      </c>
      <c r="E16" s="22">
        <f>2+1+1</f>
        <v>4</v>
      </c>
      <c r="F16" s="22">
        <f>2+2+2</f>
        <v>6</v>
      </c>
      <c r="G16" s="22">
        <f>1+2+2</f>
        <v>5</v>
      </c>
      <c r="H16" s="22">
        <f t="shared" si="0"/>
        <v>22</v>
      </c>
      <c r="I16" s="30">
        <v>81</v>
      </c>
      <c r="J16" s="27">
        <v>7</v>
      </c>
    </row>
    <row r="17" spans="1:10" ht="39.75" customHeight="1" thickBot="1">
      <c r="A17" s="13">
        <v>156</v>
      </c>
      <c r="B17" s="52" t="s">
        <v>101</v>
      </c>
      <c r="C17" s="53">
        <f>3+2+0+2+0.3</f>
        <v>7.3</v>
      </c>
      <c r="D17" s="53">
        <f>2+1+1+2+1</f>
        <v>7</v>
      </c>
      <c r="E17" s="53">
        <f>1+1.5+1.5+1+1</f>
        <v>6</v>
      </c>
      <c r="F17" s="53">
        <f>1.5+1+0.5+0.7+0.5</f>
        <v>4.2</v>
      </c>
      <c r="G17" s="53">
        <f>0.5+1+1.5+1+1</f>
        <v>5</v>
      </c>
      <c r="H17" s="53">
        <f t="shared" si="0"/>
        <v>29.5</v>
      </c>
      <c r="I17" s="51">
        <v>79</v>
      </c>
      <c r="J17" s="51">
        <v>8</v>
      </c>
    </row>
    <row r="18" spans="1:10" ht="24.75" customHeight="1" thickBot="1">
      <c r="A18" s="13">
        <v>139</v>
      </c>
      <c r="B18" s="18" t="s">
        <v>65</v>
      </c>
      <c r="C18" s="22">
        <f>1+2+2</f>
        <v>5</v>
      </c>
      <c r="D18" s="22">
        <f>1+2+0.6</f>
        <v>3.6</v>
      </c>
      <c r="E18" s="22">
        <f>0+2+1</f>
        <v>3</v>
      </c>
      <c r="F18" s="22">
        <f>2+2+2</f>
        <v>6</v>
      </c>
      <c r="G18" s="22">
        <f>1+2+1</f>
        <v>4</v>
      </c>
      <c r="H18" s="22">
        <f t="shared" si="0"/>
        <v>21.6</v>
      </c>
      <c r="I18" s="30">
        <v>79</v>
      </c>
      <c r="J18" s="27">
        <v>8</v>
      </c>
    </row>
    <row r="19" spans="1:10" ht="24.75" customHeight="1" thickBot="1">
      <c r="A19" s="13">
        <v>155</v>
      </c>
      <c r="B19" s="18" t="s">
        <v>95</v>
      </c>
      <c r="C19" s="22">
        <f>1+2+0.7</f>
        <v>3.7</v>
      </c>
      <c r="D19" s="22">
        <f>1+1+2</f>
        <v>4</v>
      </c>
      <c r="E19" s="22">
        <f>2+1+0.5</f>
        <v>3.5</v>
      </c>
      <c r="F19" s="22">
        <f>2+1+1</f>
        <v>4</v>
      </c>
      <c r="G19" s="22">
        <f>2+1+1</f>
        <v>4</v>
      </c>
      <c r="H19" s="22">
        <f t="shared" si="0"/>
        <v>19.2</v>
      </c>
      <c r="I19" s="30">
        <v>78</v>
      </c>
      <c r="J19" s="27">
        <v>9</v>
      </c>
    </row>
    <row r="20" spans="1:10" ht="24.75" customHeight="1" thickBot="1">
      <c r="A20" s="13">
        <v>148</v>
      </c>
      <c r="B20" s="18" t="s">
        <v>68</v>
      </c>
      <c r="C20" s="22">
        <f>3+1.5+1+2+0.6</f>
        <v>8.1</v>
      </c>
      <c r="D20" s="22">
        <f>2+1+1+2+0</f>
        <v>6</v>
      </c>
      <c r="E20" s="22">
        <f>1.1+1.5+1.5+0.5+0</f>
        <v>4.6</v>
      </c>
      <c r="F20" s="22">
        <f>2+1+0+0.6+0.6</f>
        <v>4.2</v>
      </c>
      <c r="G20" s="22">
        <f>1.5+1+1+1+1.5</f>
        <v>6</v>
      </c>
      <c r="H20" s="22">
        <f t="shared" si="0"/>
        <v>28.9</v>
      </c>
      <c r="I20" s="30">
        <v>77</v>
      </c>
      <c r="J20" s="27">
        <v>10</v>
      </c>
    </row>
    <row r="21" spans="1:10" ht="24.75" customHeight="1" thickBot="1">
      <c r="A21" s="13">
        <v>136</v>
      </c>
      <c r="B21" s="18" t="s">
        <v>62</v>
      </c>
      <c r="C21" s="22">
        <f>1+2+1</f>
        <v>4</v>
      </c>
      <c r="D21" s="22">
        <f>1+2+0</f>
        <v>3</v>
      </c>
      <c r="E21" s="22">
        <f>1+1+1</f>
        <v>3</v>
      </c>
      <c r="F21" s="22">
        <f>2+2+2</f>
        <v>6</v>
      </c>
      <c r="G21" s="22">
        <f>1+2+1</f>
        <v>4</v>
      </c>
      <c r="H21" s="22">
        <f t="shared" si="0"/>
        <v>20</v>
      </c>
      <c r="I21" s="30">
        <v>74</v>
      </c>
      <c r="J21" s="27">
        <v>11</v>
      </c>
    </row>
    <row r="22" spans="1:10" ht="24.75" customHeight="1" thickBot="1">
      <c r="A22" s="13">
        <v>137</v>
      </c>
      <c r="B22" s="18" t="s">
        <v>63</v>
      </c>
      <c r="C22" s="22">
        <f>0+2+1</f>
        <v>3</v>
      </c>
      <c r="D22" s="22">
        <f>1+2+0</f>
        <v>3</v>
      </c>
      <c r="E22" s="22">
        <f>1+2+1</f>
        <v>4</v>
      </c>
      <c r="F22" s="22">
        <f>2+2+2</f>
        <v>6</v>
      </c>
      <c r="G22" s="22">
        <f>1+2+1</f>
        <v>4</v>
      </c>
      <c r="H22" s="22">
        <f t="shared" si="0"/>
        <v>20</v>
      </c>
      <c r="I22" s="30">
        <v>74</v>
      </c>
      <c r="J22" s="27">
        <v>11</v>
      </c>
    </row>
    <row r="23" spans="1:10" ht="24.75" customHeight="1" thickBot="1">
      <c r="A23" s="13">
        <v>131</v>
      </c>
      <c r="B23" s="18" t="s">
        <v>57</v>
      </c>
      <c r="C23" s="22">
        <f>1+2+1</f>
        <v>4</v>
      </c>
      <c r="D23" s="22">
        <f>1+2+0.3</f>
        <v>3.3</v>
      </c>
      <c r="E23" s="22">
        <f>0+2+1</f>
        <v>3</v>
      </c>
      <c r="F23" s="22">
        <f>0.5+2+2</f>
        <v>4.5</v>
      </c>
      <c r="G23" s="22">
        <f>1+2+2</f>
        <v>5</v>
      </c>
      <c r="H23" s="22">
        <f t="shared" si="0"/>
        <v>19.8</v>
      </c>
      <c r="I23" s="30">
        <v>73</v>
      </c>
      <c r="J23" s="27">
        <v>12</v>
      </c>
    </row>
    <row r="24" spans="1:10" ht="24.75" customHeight="1" thickBot="1">
      <c r="A24" s="13">
        <v>151</v>
      </c>
      <c r="B24" s="18" t="s">
        <v>81</v>
      </c>
      <c r="C24" s="22">
        <f>2+2+2+2+0.6</f>
        <v>8.6</v>
      </c>
      <c r="D24" s="22">
        <f>0.5+1+1+1+0</f>
        <v>3.5</v>
      </c>
      <c r="E24" s="22">
        <f>0.9+1.5+1.5+1+0</f>
        <v>4.9</v>
      </c>
      <c r="F24" s="22">
        <f>1.5+0.5+0.5+0.5+0.5</f>
        <v>3.5</v>
      </c>
      <c r="G24" s="22">
        <f>1.5+1+1.5+1+1.5</f>
        <v>6.5</v>
      </c>
      <c r="H24" s="22">
        <f t="shared" si="0"/>
        <v>27</v>
      </c>
      <c r="I24" s="30">
        <v>72</v>
      </c>
      <c r="J24" s="27">
        <v>13</v>
      </c>
    </row>
    <row r="25" spans="1:10" ht="24.75" customHeight="1" thickBot="1">
      <c r="A25" s="13">
        <v>134</v>
      </c>
      <c r="B25" s="18" t="s">
        <v>60</v>
      </c>
      <c r="C25" s="22">
        <f>1+2+1</f>
        <v>4</v>
      </c>
      <c r="D25" s="22">
        <f>1+2+0.6</f>
        <v>3.6</v>
      </c>
      <c r="E25" s="22">
        <f>2+0+1</f>
        <v>3</v>
      </c>
      <c r="F25" s="22">
        <f>1+2+2</f>
        <v>5</v>
      </c>
      <c r="G25" s="22">
        <f>1+2+1</f>
        <v>4</v>
      </c>
      <c r="H25" s="22">
        <f t="shared" si="0"/>
        <v>19.6</v>
      </c>
      <c r="I25" s="30">
        <v>72</v>
      </c>
      <c r="J25" s="27">
        <v>13</v>
      </c>
    </row>
    <row r="26" spans="1:10" ht="24.75" customHeight="1" thickBot="1">
      <c r="A26" s="13">
        <v>153</v>
      </c>
      <c r="B26" s="18" t="s">
        <v>83</v>
      </c>
      <c r="C26" s="22">
        <f>2+2+1+2+0.6</f>
        <v>7.6</v>
      </c>
      <c r="D26" s="22">
        <f>0.5+1+1+2+0</f>
        <v>4.5</v>
      </c>
      <c r="E26" s="22">
        <f>1+1.5+1+0.5+1</f>
        <v>5</v>
      </c>
      <c r="F26" s="22">
        <f>1+0.5+0.5+0.5+0.6</f>
        <v>3.1</v>
      </c>
      <c r="G26" s="22">
        <f>1.5+1+1.5+1+1.5</f>
        <v>6.5</v>
      </c>
      <c r="H26" s="22">
        <f t="shared" si="0"/>
        <v>26.700000000000003</v>
      </c>
      <c r="I26" s="30">
        <v>71</v>
      </c>
      <c r="J26" s="27">
        <v>14</v>
      </c>
    </row>
    <row r="27" spans="1:10" ht="24.75" customHeight="1" thickBot="1">
      <c r="A27" s="13">
        <v>147</v>
      </c>
      <c r="B27" s="18" t="s">
        <v>67</v>
      </c>
      <c r="C27" s="22">
        <f>2+1+1+1.5+0.7</f>
        <v>6.2</v>
      </c>
      <c r="D27" s="22">
        <f>0.5+1+0+2+1</f>
        <v>4.5</v>
      </c>
      <c r="E27" s="22">
        <f>1+0.5+1.5+1+1</f>
        <v>5</v>
      </c>
      <c r="F27" s="22">
        <f>2+1+0+0.6+0.5</f>
        <v>4.1</v>
      </c>
      <c r="G27" s="22">
        <f>1.5+1+1+1+1.5</f>
        <v>6</v>
      </c>
      <c r="H27" s="22">
        <f t="shared" si="0"/>
        <v>25.799999999999997</v>
      </c>
      <c r="I27" s="30">
        <v>69</v>
      </c>
      <c r="J27" s="27">
        <v>15</v>
      </c>
    </row>
    <row r="28" spans="1:10" ht="24.75" customHeight="1" thickBot="1">
      <c r="A28" s="13">
        <v>128</v>
      </c>
      <c r="B28" s="18" t="s">
        <v>54</v>
      </c>
      <c r="C28" s="22">
        <f>1+2+1</f>
        <v>4</v>
      </c>
      <c r="D28" s="22">
        <f>1+2+0.3</f>
        <v>3.3</v>
      </c>
      <c r="E28" s="22">
        <f>1+2+1</f>
        <v>4</v>
      </c>
      <c r="F28" s="22">
        <f>0.5+2+0</f>
        <v>2.5</v>
      </c>
      <c r="G28" s="22">
        <f>1+2+2</f>
        <v>5</v>
      </c>
      <c r="H28" s="22">
        <f t="shared" si="0"/>
        <v>18.8</v>
      </c>
      <c r="I28" s="30">
        <v>69</v>
      </c>
      <c r="J28" s="27">
        <v>15</v>
      </c>
    </row>
    <row r="29" spans="1:10" ht="24.75" customHeight="1" thickBot="1">
      <c r="A29" s="13">
        <v>142</v>
      </c>
      <c r="B29" s="18" t="s">
        <v>75</v>
      </c>
      <c r="C29" s="22">
        <f>1+2+2</f>
        <v>5</v>
      </c>
      <c r="D29" s="22">
        <f>1+0+0.6</f>
        <v>1.6</v>
      </c>
      <c r="E29" s="22">
        <f>2+2+1</f>
        <v>5</v>
      </c>
      <c r="F29" s="22">
        <f>0.5+1+2</f>
        <v>3.5</v>
      </c>
      <c r="G29" s="22">
        <f>1+2+0.5</f>
        <v>3.5</v>
      </c>
      <c r="H29" s="22">
        <f t="shared" si="0"/>
        <v>18.6</v>
      </c>
      <c r="I29" s="30">
        <v>68</v>
      </c>
      <c r="J29" s="27">
        <v>16</v>
      </c>
    </row>
    <row r="30" spans="1:10" ht="24.75" customHeight="1" thickBot="1">
      <c r="A30" s="13">
        <v>133</v>
      </c>
      <c r="B30" s="18" t="s">
        <v>59</v>
      </c>
      <c r="C30" s="22">
        <f>1+2+1</f>
        <v>4</v>
      </c>
      <c r="D30" s="22">
        <f>1+1+0</f>
        <v>2</v>
      </c>
      <c r="E30" s="22">
        <f>2+0+2</f>
        <v>4</v>
      </c>
      <c r="F30" s="22">
        <f>1+2+2</f>
        <v>5</v>
      </c>
      <c r="G30" s="22">
        <f>1+2+0.5</f>
        <v>3.5</v>
      </c>
      <c r="H30" s="22">
        <f t="shared" si="0"/>
        <v>18.5</v>
      </c>
      <c r="I30" s="30">
        <v>68</v>
      </c>
      <c r="J30" s="27">
        <v>16</v>
      </c>
    </row>
    <row r="31" spans="1:10" ht="24.75" customHeight="1" thickBot="1">
      <c r="A31" s="13">
        <v>154</v>
      </c>
      <c r="B31" s="18" t="s">
        <v>84</v>
      </c>
      <c r="C31" s="22">
        <f>1+2+0.7</f>
        <v>3.7</v>
      </c>
      <c r="D31" s="22">
        <f>1+1+2</f>
        <v>4</v>
      </c>
      <c r="E31" s="22">
        <f>1+1+1</f>
        <v>3</v>
      </c>
      <c r="F31" s="22">
        <f>2+0+0</f>
        <v>2</v>
      </c>
      <c r="G31" s="22">
        <f>2+1+1</f>
        <v>4</v>
      </c>
      <c r="H31" s="22">
        <f t="shared" si="0"/>
        <v>16.7</v>
      </c>
      <c r="I31" s="30">
        <v>68</v>
      </c>
      <c r="J31" s="27">
        <v>16</v>
      </c>
    </row>
    <row r="32" spans="1:10" ht="24.75" customHeight="1" thickBot="1">
      <c r="A32" s="13">
        <v>127</v>
      </c>
      <c r="B32" s="18" t="s">
        <v>53</v>
      </c>
      <c r="C32" s="22">
        <f>1+2+1</f>
        <v>4</v>
      </c>
      <c r="D32" s="22">
        <f>1+2+0.3</f>
        <v>3.3</v>
      </c>
      <c r="E32" s="22">
        <f>0+2+1</f>
        <v>3</v>
      </c>
      <c r="F32" s="22">
        <f>0.5+2+2</f>
        <v>4.5</v>
      </c>
      <c r="G32" s="22">
        <f>1+2+0.5</f>
        <v>3.5</v>
      </c>
      <c r="H32" s="22">
        <f t="shared" si="0"/>
        <v>18.3</v>
      </c>
      <c r="I32" s="30">
        <v>67</v>
      </c>
      <c r="J32" s="27">
        <v>17</v>
      </c>
    </row>
    <row r="33" spans="1:10" ht="24.75" customHeight="1" thickBot="1">
      <c r="A33" s="13">
        <v>129</v>
      </c>
      <c r="B33" s="18" t="s">
        <v>55</v>
      </c>
      <c r="C33" s="22">
        <f>1+2+1</f>
        <v>4</v>
      </c>
      <c r="D33" s="22">
        <f>1+2+0.3</f>
        <v>3.3</v>
      </c>
      <c r="E33" s="22">
        <f>0+2+1</f>
        <v>3</v>
      </c>
      <c r="F33" s="22">
        <f>0.5+2+2</f>
        <v>4.5</v>
      </c>
      <c r="G33" s="22">
        <f>1+2+0.5</f>
        <v>3.5</v>
      </c>
      <c r="H33" s="22">
        <f t="shared" si="0"/>
        <v>18.3</v>
      </c>
      <c r="I33" s="30">
        <v>67</v>
      </c>
      <c r="J33" s="27">
        <v>17</v>
      </c>
    </row>
    <row r="34" spans="1:10" ht="24.75" customHeight="1" thickBot="1">
      <c r="A34" s="13">
        <v>146</v>
      </c>
      <c r="B34" s="18" t="s">
        <v>66</v>
      </c>
      <c r="C34" s="22">
        <f>1+1+1+2+0.7</f>
        <v>5.7</v>
      </c>
      <c r="D34" s="22">
        <f>0.5+1+1+1+1</f>
        <v>4.5</v>
      </c>
      <c r="E34" s="22">
        <f>1+0.5+1+1+1</f>
        <v>4.5</v>
      </c>
      <c r="F34" s="22">
        <f>2+0.5+0+0.6+0.6</f>
        <v>3.7</v>
      </c>
      <c r="G34" s="22">
        <f>2+1+1+1+1.5</f>
        <v>6.5</v>
      </c>
      <c r="H34" s="22">
        <f t="shared" si="0"/>
        <v>24.9</v>
      </c>
      <c r="I34" s="30">
        <v>66</v>
      </c>
      <c r="J34" s="27">
        <v>18</v>
      </c>
    </row>
    <row r="35" spans="1:10" ht="24.75" customHeight="1" thickBot="1">
      <c r="A35" s="13">
        <v>126</v>
      </c>
      <c r="B35" s="18" t="s">
        <v>52</v>
      </c>
      <c r="C35" s="22">
        <f>1+2+1</f>
        <v>4</v>
      </c>
      <c r="D35" s="22">
        <f>1+2+0.3</f>
        <v>3.3</v>
      </c>
      <c r="E35" s="22">
        <f>1+2+1</f>
        <v>4</v>
      </c>
      <c r="F35" s="22">
        <f>0.5+2+0</f>
        <v>2.5</v>
      </c>
      <c r="G35" s="22">
        <f>1+2+0.5</f>
        <v>3.5</v>
      </c>
      <c r="H35" s="22">
        <f t="shared" si="0"/>
        <v>17.3</v>
      </c>
      <c r="I35" s="30">
        <v>64</v>
      </c>
      <c r="J35" s="27">
        <v>19</v>
      </c>
    </row>
    <row r="36" spans="1:10" ht="24.75" customHeight="1" thickBot="1">
      <c r="A36" s="13">
        <v>152</v>
      </c>
      <c r="B36" s="18" t="s">
        <v>82</v>
      </c>
      <c r="C36" s="22">
        <f>1+0+0.5+2+0.2</f>
        <v>3.7</v>
      </c>
      <c r="D36" s="22">
        <f>1+1+1+1+0</f>
        <v>4</v>
      </c>
      <c r="E36" s="22">
        <f>0.4+1.5+0+1+0</f>
        <v>2.9</v>
      </c>
      <c r="F36" s="22">
        <f>2+1+0.5+0.7+0.5</f>
        <v>4.7</v>
      </c>
      <c r="G36" s="22">
        <f>2+1+1.5+1+1.5</f>
        <v>7</v>
      </c>
      <c r="H36" s="22">
        <f t="shared" si="0"/>
        <v>22.3</v>
      </c>
      <c r="I36" s="30">
        <v>59</v>
      </c>
      <c r="J36" s="27">
        <v>20</v>
      </c>
    </row>
    <row r="37" spans="1:10" ht="24.75" customHeight="1" thickBot="1">
      <c r="A37" s="13">
        <v>145</v>
      </c>
      <c r="B37" s="18" t="s">
        <v>51</v>
      </c>
      <c r="C37" s="22">
        <f>1+0+0+2+0.5</f>
        <v>3.5</v>
      </c>
      <c r="D37" s="22">
        <f>1+0+1+2+1</f>
        <v>5</v>
      </c>
      <c r="E37" s="22">
        <f>0.9+1.5+1+1+0</f>
        <v>4.4</v>
      </c>
      <c r="F37" s="22">
        <f>1+1+0+0.7+0.5</f>
        <v>3.2</v>
      </c>
      <c r="G37" s="22">
        <f>1.5+1+1+1+1</f>
        <v>5.5</v>
      </c>
      <c r="H37" s="22">
        <f aca="true" t="shared" si="1" ref="H37:H61">SUM(C37:G37)</f>
        <v>21.6</v>
      </c>
      <c r="I37" s="30">
        <v>58</v>
      </c>
      <c r="J37" s="27">
        <v>21</v>
      </c>
    </row>
    <row r="38" spans="1:10" ht="24.75" customHeight="1" thickBot="1">
      <c r="A38" s="13">
        <v>138</v>
      </c>
      <c r="B38" s="18" t="s">
        <v>64</v>
      </c>
      <c r="C38" s="22">
        <f>1+2+1</f>
        <v>4</v>
      </c>
      <c r="D38" s="22">
        <f>1+1+0.5</f>
        <v>2.5</v>
      </c>
      <c r="E38" s="22">
        <f>0+2+1</f>
        <v>3</v>
      </c>
      <c r="F38" s="22">
        <f>1+1+2</f>
        <v>4</v>
      </c>
      <c r="G38" s="22">
        <f>1+0+1</f>
        <v>2</v>
      </c>
      <c r="H38" s="22">
        <f t="shared" si="1"/>
        <v>15.5</v>
      </c>
      <c r="I38" s="30">
        <v>57</v>
      </c>
      <c r="J38" s="27">
        <v>22</v>
      </c>
    </row>
    <row r="39" spans="1:10" ht="24.75" customHeight="1" thickBot="1">
      <c r="A39" s="13">
        <v>130</v>
      </c>
      <c r="B39" s="18" t="s">
        <v>56</v>
      </c>
      <c r="C39" s="22">
        <f>1+2+1</f>
        <v>4</v>
      </c>
      <c r="D39" s="22">
        <f>1+2+0.3</f>
        <v>3.3</v>
      </c>
      <c r="E39" s="22">
        <f>0+2+0</f>
        <v>2</v>
      </c>
      <c r="F39" s="22">
        <f>0.5+2+2</f>
        <v>4.5</v>
      </c>
      <c r="G39" s="22">
        <f>1+0+0.5</f>
        <v>1.5</v>
      </c>
      <c r="H39" s="22">
        <f t="shared" si="1"/>
        <v>15.3</v>
      </c>
      <c r="I39" s="30">
        <v>56</v>
      </c>
      <c r="J39" s="27">
        <v>23</v>
      </c>
    </row>
    <row r="40" spans="1:10" ht="24.75" customHeight="1" thickBot="1">
      <c r="A40" s="13">
        <v>141</v>
      </c>
      <c r="B40" s="18" t="s">
        <v>74</v>
      </c>
      <c r="C40" s="22">
        <f>1+2+1</f>
        <v>4</v>
      </c>
      <c r="D40" s="22">
        <f>1+0+0.6</f>
        <v>1.6</v>
      </c>
      <c r="E40" s="22">
        <f>1+1+1</f>
        <v>3</v>
      </c>
      <c r="F40" s="22">
        <f>1+1+2</f>
        <v>4</v>
      </c>
      <c r="G40" s="22">
        <f>1+1+0.5</f>
        <v>2.5</v>
      </c>
      <c r="H40" s="22">
        <f t="shared" si="1"/>
        <v>15.1</v>
      </c>
      <c r="I40" s="30">
        <v>56</v>
      </c>
      <c r="J40" s="27">
        <v>23</v>
      </c>
    </row>
    <row r="41" spans="1:10" ht="24.75" customHeight="1" thickBot="1">
      <c r="A41" s="13">
        <v>144</v>
      </c>
      <c r="B41" s="18" t="s">
        <v>50</v>
      </c>
      <c r="C41" s="22">
        <f>1+0+0+1.5+0.5</f>
        <v>3</v>
      </c>
      <c r="D41" s="22">
        <f>1+0+1+2+1</f>
        <v>5</v>
      </c>
      <c r="E41" s="22">
        <f>1+1+1+1+0</f>
        <v>4</v>
      </c>
      <c r="F41" s="22">
        <f>1+1+0+0.7+0.5</f>
        <v>3.2</v>
      </c>
      <c r="G41" s="22">
        <f>1.5+1+1+1+1</f>
        <v>5.5</v>
      </c>
      <c r="H41" s="22">
        <f t="shared" si="1"/>
        <v>20.7</v>
      </c>
      <c r="I41" s="30">
        <v>55</v>
      </c>
      <c r="J41" s="27">
        <v>24</v>
      </c>
    </row>
    <row r="42" spans="1:10" ht="24.75" customHeight="1" thickBot="1">
      <c r="A42" s="13">
        <v>114</v>
      </c>
      <c r="B42" s="14" t="s">
        <v>43</v>
      </c>
      <c r="C42" s="25">
        <f>1+1+0.7</f>
        <v>2.7</v>
      </c>
      <c r="D42" s="25">
        <f>1+1+1</f>
        <v>3</v>
      </c>
      <c r="E42" s="25">
        <f>1+1+1</f>
        <v>3</v>
      </c>
      <c r="F42" s="25">
        <f>0+1+0</f>
        <v>1</v>
      </c>
      <c r="G42" s="25">
        <f>2+1+1</f>
        <v>4</v>
      </c>
      <c r="H42" s="26">
        <f t="shared" si="1"/>
        <v>13.7</v>
      </c>
      <c r="I42" s="31">
        <v>55</v>
      </c>
      <c r="J42" s="27">
        <v>24</v>
      </c>
    </row>
    <row r="43" spans="1:10" ht="24.75" customHeight="1" thickBot="1">
      <c r="A43" s="13">
        <v>115</v>
      </c>
      <c r="B43" s="14" t="s">
        <v>44</v>
      </c>
      <c r="C43" s="25">
        <f>1+1+0.5</f>
        <v>2.5</v>
      </c>
      <c r="D43" s="25">
        <f>1+1+0</f>
        <v>2</v>
      </c>
      <c r="E43" s="25">
        <f>1+1+1</f>
        <v>3</v>
      </c>
      <c r="F43" s="25">
        <f>0+1+0</f>
        <v>1</v>
      </c>
      <c r="G43" s="25">
        <f>2+1+1</f>
        <v>4</v>
      </c>
      <c r="H43" s="26">
        <f t="shared" si="1"/>
        <v>12.5</v>
      </c>
      <c r="I43" s="31">
        <v>51</v>
      </c>
      <c r="J43" s="27">
        <v>25</v>
      </c>
    </row>
    <row r="44" spans="1:10" ht="24.75" customHeight="1" thickBot="1">
      <c r="A44" s="13">
        <v>116</v>
      </c>
      <c r="B44" s="14" t="s">
        <v>45</v>
      </c>
      <c r="C44" s="25">
        <f>1+1+0.5</f>
        <v>2.5</v>
      </c>
      <c r="D44" s="25">
        <f>1+1+0</f>
        <v>2</v>
      </c>
      <c r="E44" s="25">
        <f>1+1+0</f>
        <v>2</v>
      </c>
      <c r="F44" s="25">
        <f>1+1+0</f>
        <v>2</v>
      </c>
      <c r="G44" s="25">
        <f>2+1+0.5</f>
        <v>3.5</v>
      </c>
      <c r="H44" s="26">
        <f t="shared" si="1"/>
        <v>12</v>
      </c>
      <c r="I44" s="31">
        <v>49</v>
      </c>
      <c r="J44" s="27">
        <v>26</v>
      </c>
    </row>
    <row r="45" spans="1:10" ht="24.75" customHeight="1" thickBot="1">
      <c r="A45" s="13">
        <v>125</v>
      </c>
      <c r="B45" s="18" t="s">
        <v>49</v>
      </c>
      <c r="C45" s="22">
        <f>1+2+0.5</f>
        <v>3.5</v>
      </c>
      <c r="D45" s="22">
        <f>1+0+0.5</f>
        <v>1.5</v>
      </c>
      <c r="E45" s="22">
        <f>0+1+0</f>
        <v>1</v>
      </c>
      <c r="F45" s="22">
        <f>1+1+1</f>
        <v>3</v>
      </c>
      <c r="G45" s="22">
        <f>1+1+0.5</f>
        <v>2.5</v>
      </c>
      <c r="H45" s="22">
        <f t="shared" si="1"/>
        <v>11.5</v>
      </c>
      <c r="I45" s="30">
        <v>42</v>
      </c>
      <c r="J45" s="27">
        <v>27</v>
      </c>
    </row>
    <row r="46" spans="1:10" ht="24.75" customHeight="1" thickBot="1">
      <c r="A46" s="13">
        <v>117</v>
      </c>
      <c r="B46" s="14" t="s">
        <v>46</v>
      </c>
      <c r="C46" s="25">
        <f>1+1+0.7</f>
        <v>2.7</v>
      </c>
      <c r="D46" s="25">
        <f>1+1+0</f>
        <v>2</v>
      </c>
      <c r="E46" s="25">
        <f>0+1+0</f>
        <v>1</v>
      </c>
      <c r="F46" s="25">
        <f>0.5+1+0</f>
        <v>1.5</v>
      </c>
      <c r="G46" s="25">
        <f>1+1+1</f>
        <v>3</v>
      </c>
      <c r="H46" s="26">
        <f t="shared" si="1"/>
        <v>10.2</v>
      </c>
      <c r="I46" s="31">
        <v>41</v>
      </c>
      <c r="J46" s="27">
        <v>28</v>
      </c>
    </row>
    <row r="47" spans="1:10" ht="24.75" customHeight="1" thickBot="1">
      <c r="A47" s="13">
        <v>118</v>
      </c>
      <c r="B47" s="14" t="s">
        <v>47</v>
      </c>
      <c r="C47" s="25">
        <f>1+0.5+0.7</f>
        <v>2.2</v>
      </c>
      <c r="D47" s="25">
        <f>1+1+0</f>
        <v>2</v>
      </c>
      <c r="E47" s="25">
        <f>0+1+1</f>
        <v>2</v>
      </c>
      <c r="F47" s="25">
        <f>0.5+1+0</f>
        <v>1.5</v>
      </c>
      <c r="G47" s="25">
        <f>1+0.5+0.5</f>
        <v>2</v>
      </c>
      <c r="H47" s="26">
        <f t="shared" si="1"/>
        <v>9.7</v>
      </c>
      <c r="I47" s="31">
        <v>39</v>
      </c>
      <c r="J47" s="27">
        <v>29</v>
      </c>
    </row>
    <row r="48" spans="1:10" ht="24.75" customHeight="1" thickBot="1">
      <c r="A48" s="13">
        <v>124</v>
      </c>
      <c r="B48" s="18" t="s">
        <v>48</v>
      </c>
      <c r="C48" s="22">
        <f>1+2+0</f>
        <v>3</v>
      </c>
      <c r="D48" s="22">
        <f>1+0+0</f>
        <v>1</v>
      </c>
      <c r="E48" s="22">
        <f>1+0+0</f>
        <v>1</v>
      </c>
      <c r="F48" s="22">
        <f>1+1+1</f>
        <v>3</v>
      </c>
      <c r="G48" s="22">
        <f>0.5+0+0.5</f>
        <v>1</v>
      </c>
      <c r="H48" s="22">
        <f t="shared" si="1"/>
        <v>9</v>
      </c>
      <c r="I48" s="30">
        <v>33</v>
      </c>
      <c r="J48" s="27">
        <v>30</v>
      </c>
    </row>
    <row r="49" spans="1:10" ht="24.75" customHeight="1" thickBot="1">
      <c r="A49" s="13">
        <v>107</v>
      </c>
      <c r="B49" s="14" t="s">
        <v>13</v>
      </c>
      <c r="C49" s="25">
        <f>0+2+0.5</f>
        <v>2.5</v>
      </c>
      <c r="D49" s="25">
        <f>1+1+0</f>
        <v>2</v>
      </c>
      <c r="E49" s="25">
        <f>0+1+0</f>
        <v>1</v>
      </c>
      <c r="F49" s="25">
        <f>1+0.5+0</f>
        <v>1.5</v>
      </c>
      <c r="G49" s="25">
        <f>0+0+0</f>
        <v>0</v>
      </c>
      <c r="H49" s="26">
        <f t="shared" si="1"/>
        <v>7</v>
      </c>
      <c r="I49" s="31">
        <v>28</v>
      </c>
      <c r="J49" s="27">
        <v>31</v>
      </c>
    </row>
    <row r="50" spans="1:10" ht="24.75" customHeight="1" thickBot="1">
      <c r="A50" s="13">
        <v>112</v>
      </c>
      <c r="B50" s="14" t="s">
        <v>18</v>
      </c>
      <c r="C50" s="25">
        <f>0+2+0.7</f>
        <v>2.7</v>
      </c>
      <c r="D50" s="25">
        <f>1+1+0</f>
        <v>2</v>
      </c>
      <c r="E50" s="25">
        <f>0+0+0</f>
        <v>0</v>
      </c>
      <c r="F50" s="25">
        <f>0.5+0+0</f>
        <v>0.5</v>
      </c>
      <c r="G50" s="25">
        <f>0+0.5+0</f>
        <v>0.5</v>
      </c>
      <c r="H50" s="26">
        <f t="shared" si="1"/>
        <v>5.7</v>
      </c>
      <c r="I50" s="31">
        <v>23</v>
      </c>
      <c r="J50" s="27">
        <v>32</v>
      </c>
    </row>
    <row r="51" spans="1:10" ht="24.75" customHeight="1" thickBot="1">
      <c r="A51" s="13">
        <v>113</v>
      </c>
      <c r="B51" s="14" t="s">
        <v>19</v>
      </c>
      <c r="C51" s="25">
        <f>1+0+0.2</f>
        <v>1.2</v>
      </c>
      <c r="D51" s="25">
        <f>1+1+0</f>
        <v>2</v>
      </c>
      <c r="E51" s="25">
        <f>0+1+0</f>
        <v>1</v>
      </c>
      <c r="F51" s="25">
        <f>1+0+0</f>
        <v>1</v>
      </c>
      <c r="G51" s="25">
        <f>0+0+0</f>
        <v>0</v>
      </c>
      <c r="H51" s="26">
        <f t="shared" si="1"/>
        <v>5.2</v>
      </c>
      <c r="I51" s="31">
        <v>21</v>
      </c>
      <c r="J51" s="27">
        <v>33</v>
      </c>
    </row>
    <row r="52" spans="1:10" ht="24.75" customHeight="1" thickBot="1">
      <c r="A52" s="13">
        <v>111</v>
      </c>
      <c r="B52" s="14" t="s">
        <v>17</v>
      </c>
      <c r="C52" s="25">
        <f>1+0+0.1</f>
        <v>1.1</v>
      </c>
      <c r="D52" s="25">
        <f>1+0+0</f>
        <v>1</v>
      </c>
      <c r="E52" s="25">
        <f>0+0+0</f>
        <v>0</v>
      </c>
      <c r="F52" s="25">
        <f>1+1+0</f>
        <v>2</v>
      </c>
      <c r="G52" s="25">
        <f>0+0+0</f>
        <v>0</v>
      </c>
      <c r="H52" s="26">
        <f t="shared" si="1"/>
        <v>4.1</v>
      </c>
      <c r="I52" s="31">
        <v>17</v>
      </c>
      <c r="J52" s="27">
        <v>34</v>
      </c>
    </row>
    <row r="53" spans="1:10" ht="24.75" customHeight="1" thickBot="1">
      <c r="A53" s="13">
        <v>109</v>
      </c>
      <c r="B53" s="14" t="s">
        <v>15</v>
      </c>
      <c r="C53" s="25">
        <f>0+0+0.5</f>
        <v>0.5</v>
      </c>
      <c r="D53" s="25">
        <f>1+1+0</f>
        <v>2</v>
      </c>
      <c r="E53" s="25">
        <f>0+1+0</f>
        <v>1</v>
      </c>
      <c r="F53" s="25">
        <f>0.5+0+0</f>
        <v>0.5</v>
      </c>
      <c r="G53" s="25">
        <f>0+0+0</f>
        <v>0</v>
      </c>
      <c r="H53" s="26">
        <f t="shared" si="1"/>
        <v>4</v>
      </c>
      <c r="I53" s="31">
        <v>16</v>
      </c>
      <c r="J53" s="27">
        <v>35</v>
      </c>
    </row>
    <row r="54" spans="1:10" ht="24.75" customHeight="1" thickBot="1">
      <c r="A54" s="13">
        <v>106</v>
      </c>
      <c r="B54" s="14" t="s">
        <v>12</v>
      </c>
      <c r="C54" s="25">
        <f>0+0+0.1</f>
        <v>0.1</v>
      </c>
      <c r="D54" s="25">
        <f>1+1+0</f>
        <v>2</v>
      </c>
      <c r="E54" s="25">
        <f>0+0+1</f>
        <v>1</v>
      </c>
      <c r="F54" s="25">
        <f>0.5+0+0</f>
        <v>0.5</v>
      </c>
      <c r="G54" s="25">
        <f>0+0+0</f>
        <v>0</v>
      </c>
      <c r="H54" s="26">
        <f t="shared" si="1"/>
        <v>3.6</v>
      </c>
      <c r="I54" s="31">
        <v>15</v>
      </c>
      <c r="J54" s="27">
        <v>36</v>
      </c>
    </row>
    <row r="55" spans="1:10" ht="24.75" customHeight="1" thickBot="1">
      <c r="A55" s="13">
        <v>102</v>
      </c>
      <c r="B55" s="14" t="s">
        <v>8</v>
      </c>
      <c r="C55" s="25">
        <f>1+0.5+0.3</f>
        <v>1.8</v>
      </c>
      <c r="D55" s="25">
        <f>0+0+0</f>
        <v>0</v>
      </c>
      <c r="E55" s="25">
        <f>0+1+0</f>
        <v>1</v>
      </c>
      <c r="F55" s="25">
        <f>0.5+0+0</f>
        <v>0.5</v>
      </c>
      <c r="G55" s="25">
        <f>0+0+0</f>
        <v>0</v>
      </c>
      <c r="H55" s="26">
        <f t="shared" si="1"/>
        <v>3.3</v>
      </c>
      <c r="I55" s="31">
        <v>13</v>
      </c>
      <c r="J55" s="27">
        <v>37</v>
      </c>
    </row>
    <row r="56" spans="1:10" ht="24.75" customHeight="1" thickBot="1">
      <c r="A56" s="13">
        <v>103</v>
      </c>
      <c r="B56" s="14" t="s">
        <v>9</v>
      </c>
      <c r="C56" s="25">
        <f>1+0+0.7</f>
        <v>1.7</v>
      </c>
      <c r="D56" s="25">
        <f>0+0+0</f>
        <v>0</v>
      </c>
      <c r="E56" s="25">
        <f aca="true" t="shared" si="2" ref="E56:E61">0+0+0</f>
        <v>0</v>
      </c>
      <c r="F56" s="25">
        <f>0.5+0+0</f>
        <v>0.5</v>
      </c>
      <c r="G56" s="25">
        <f>0.5+0+0.5</f>
        <v>1</v>
      </c>
      <c r="H56" s="26">
        <f t="shared" si="1"/>
        <v>3.2</v>
      </c>
      <c r="I56" s="31">
        <v>13</v>
      </c>
      <c r="J56" s="27">
        <v>37</v>
      </c>
    </row>
    <row r="57" spans="1:10" ht="24.75" customHeight="1" thickBot="1">
      <c r="A57" s="13">
        <v>104</v>
      </c>
      <c r="B57" s="14" t="s">
        <v>10</v>
      </c>
      <c r="C57" s="25">
        <f>0+0+0</f>
        <v>0</v>
      </c>
      <c r="D57" s="25">
        <f>1+0.5+0</f>
        <v>1.5</v>
      </c>
      <c r="E57" s="25">
        <f t="shared" si="2"/>
        <v>0</v>
      </c>
      <c r="F57" s="25">
        <f>0.5+0.5+0</f>
        <v>1</v>
      </c>
      <c r="G57" s="25">
        <f>0+0+0</f>
        <v>0</v>
      </c>
      <c r="H57" s="26">
        <f t="shared" si="1"/>
        <v>2.5</v>
      </c>
      <c r="I57" s="31">
        <v>10</v>
      </c>
      <c r="J57" s="27">
        <v>38</v>
      </c>
    </row>
    <row r="58" spans="1:10" ht="24.75" customHeight="1" thickBot="1">
      <c r="A58" s="13">
        <v>101</v>
      </c>
      <c r="B58" s="14" t="s">
        <v>7</v>
      </c>
      <c r="C58" s="25">
        <f>0+0+0.6</f>
        <v>0.6</v>
      </c>
      <c r="D58" s="25">
        <f>0+1+0</f>
        <v>1</v>
      </c>
      <c r="E58" s="25">
        <f t="shared" si="2"/>
        <v>0</v>
      </c>
      <c r="F58" s="25">
        <f>0.5+0+0</f>
        <v>0.5</v>
      </c>
      <c r="G58" s="25">
        <f>0+0+0</f>
        <v>0</v>
      </c>
      <c r="H58" s="26">
        <f t="shared" si="1"/>
        <v>2.1</v>
      </c>
      <c r="I58" s="31">
        <v>9</v>
      </c>
      <c r="J58" s="27">
        <v>39</v>
      </c>
    </row>
    <row r="59" spans="1:10" ht="24.75" customHeight="1" thickBot="1">
      <c r="A59" s="13">
        <v>105</v>
      </c>
      <c r="B59" s="14" t="s">
        <v>11</v>
      </c>
      <c r="C59" s="25">
        <f>0+0+0.6</f>
        <v>0.6</v>
      </c>
      <c r="D59" s="25">
        <f>0+1+0</f>
        <v>1</v>
      </c>
      <c r="E59" s="25">
        <f t="shared" si="2"/>
        <v>0</v>
      </c>
      <c r="F59" s="25">
        <f>0.5+0+0</f>
        <v>0.5</v>
      </c>
      <c r="G59" s="25">
        <f>0+0+0</f>
        <v>0</v>
      </c>
      <c r="H59" s="26">
        <f t="shared" si="1"/>
        <v>2.1</v>
      </c>
      <c r="I59" s="31">
        <v>9</v>
      </c>
      <c r="J59" s="27">
        <v>39</v>
      </c>
    </row>
    <row r="60" spans="1:10" ht="27" customHeight="1" thickBot="1">
      <c r="A60" s="13">
        <v>110</v>
      </c>
      <c r="B60" s="14" t="s">
        <v>16</v>
      </c>
      <c r="C60" s="25">
        <f>0+0+0</f>
        <v>0</v>
      </c>
      <c r="D60" s="25">
        <f>0+0+0</f>
        <v>0</v>
      </c>
      <c r="E60" s="25">
        <f t="shared" si="2"/>
        <v>0</v>
      </c>
      <c r="F60" s="25">
        <f>0.5+0+0</f>
        <v>0.5</v>
      </c>
      <c r="G60" s="25">
        <f>0+0+0</f>
        <v>0</v>
      </c>
      <c r="H60" s="26">
        <f t="shared" si="1"/>
        <v>0.5</v>
      </c>
      <c r="I60" s="31">
        <v>2</v>
      </c>
      <c r="J60" s="27">
        <v>40</v>
      </c>
    </row>
    <row r="61" spans="1:10" ht="27.75" customHeight="1" thickBot="1">
      <c r="A61" s="13">
        <v>108</v>
      </c>
      <c r="B61" s="14" t="s">
        <v>14</v>
      </c>
      <c r="C61" s="25">
        <f>0+0+0.4</f>
        <v>0.4</v>
      </c>
      <c r="D61" s="25">
        <f>0+0+0</f>
        <v>0</v>
      </c>
      <c r="E61" s="25">
        <f t="shared" si="2"/>
        <v>0</v>
      </c>
      <c r="F61" s="25">
        <f>0+0+0</f>
        <v>0</v>
      </c>
      <c r="G61" s="25">
        <f>0+0+0</f>
        <v>0</v>
      </c>
      <c r="H61" s="26">
        <f t="shared" si="1"/>
        <v>0.4</v>
      </c>
      <c r="I61" s="31">
        <v>2</v>
      </c>
      <c r="J61" s="27">
        <v>40</v>
      </c>
    </row>
    <row r="62" spans="1:10" ht="27.75" customHeight="1" thickBot="1">
      <c r="A62" s="13">
        <v>121</v>
      </c>
      <c r="B62" s="14" t="s">
        <v>20</v>
      </c>
      <c r="C62" s="25"/>
      <c r="D62" s="25"/>
      <c r="E62" s="25"/>
      <c r="F62" s="25"/>
      <c r="G62" s="25"/>
      <c r="H62" s="26"/>
      <c r="I62" s="26"/>
      <c r="J62" s="27"/>
    </row>
    <row r="63" spans="1:10" ht="24.75" customHeight="1" thickBot="1">
      <c r="A63" s="13">
        <v>140</v>
      </c>
      <c r="B63" s="18" t="s">
        <v>73</v>
      </c>
      <c r="C63" s="22"/>
      <c r="D63" s="22"/>
      <c r="E63" s="22"/>
      <c r="F63" s="22"/>
      <c r="G63" s="22"/>
      <c r="H63" s="22"/>
      <c r="I63" s="22"/>
      <c r="J63" s="2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12.125" style="2" customWidth="1"/>
    <col min="2" max="2" width="59.375" style="8" customWidth="1"/>
    <col min="3" max="3" width="15.875" style="8" customWidth="1"/>
    <col min="4" max="7" width="17.25390625" style="8" customWidth="1"/>
    <col min="8" max="9" width="15.375" style="8" customWidth="1"/>
    <col min="10" max="10" width="13.375" style="3" customWidth="1"/>
    <col min="11" max="11" width="13.25390625" style="3" customWidth="1"/>
    <col min="12" max="12" width="16.625" style="3" customWidth="1"/>
  </cols>
  <sheetData>
    <row r="1" ht="12.75" customHeight="1"/>
    <row r="2" spans="1:12" ht="15.75" customHeight="1">
      <c r="A2" s="21" t="s">
        <v>4</v>
      </c>
      <c r="B2" s="9"/>
      <c r="C2" s="9"/>
      <c r="D2" s="9"/>
      <c r="E2" s="9"/>
      <c r="F2" s="9"/>
      <c r="G2" s="9"/>
      <c r="H2" s="9"/>
      <c r="I2" s="9"/>
      <c r="J2" s="4"/>
      <c r="K2" s="4"/>
      <c r="L2" s="4"/>
    </row>
    <row r="3" ht="13.5" customHeight="1" thickBot="1"/>
    <row r="4" spans="1:12" s="7" customFormat="1" ht="30.75" customHeight="1" thickBot="1">
      <c r="A4" s="6" t="s">
        <v>0</v>
      </c>
      <c r="B4" s="6" t="s">
        <v>1</v>
      </c>
      <c r="C4" s="6" t="s">
        <v>110</v>
      </c>
      <c r="D4" s="6" t="s">
        <v>102</v>
      </c>
      <c r="E4" s="6" t="s">
        <v>103</v>
      </c>
      <c r="F4" s="6" t="s">
        <v>104</v>
      </c>
      <c r="G4" s="6" t="s">
        <v>105</v>
      </c>
      <c r="H4" s="6" t="s">
        <v>109</v>
      </c>
      <c r="I4" s="6" t="s">
        <v>106</v>
      </c>
      <c r="J4" s="5" t="s">
        <v>2</v>
      </c>
      <c r="K4" s="5" t="s">
        <v>121</v>
      </c>
      <c r="L4" s="6" t="s">
        <v>3</v>
      </c>
    </row>
    <row r="5" spans="1:12" s="7" customFormat="1" ht="30.75" customHeight="1" thickBot="1">
      <c r="A5" s="32"/>
      <c r="B5" s="34" t="s">
        <v>115</v>
      </c>
      <c r="C5" s="37">
        <v>4.5</v>
      </c>
      <c r="D5" s="37">
        <v>5.5</v>
      </c>
      <c r="E5" s="37">
        <v>6</v>
      </c>
      <c r="F5" s="37">
        <v>8.5</v>
      </c>
      <c r="G5" s="37">
        <v>8.3</v>
      </c>
      <c r="H5" s="37"/>
      <c r="I5" s="37"/>
      <c r="J5" s="37">
        <f>SUM(C5:I5)</f>
        <v>32.8</v>
      </c>
      <c r="K5" s="37"/>
      <c r="L5" s="32"/>
    </row>
    <row r="6" spans="1:12" s="7" customFormat="1" ht="30.75" customHeight="1" thickBot="1">
      <c r="A6" s="32"/>
      <c r="B6" s="34" t="s">
        <v>117</v>
      </c>
      <c r="C6" s="37"/>
      <c r="D6" s="37">
        <v>8</v>
      </c>
      <c r="E6" s="37">
        <v>7</v>
      </c>
      <c r="F6" s="37">
        <v>5.9</v>
      </c>
      <c r="G6" s="37">
        <v>5.6</v>
      </c>
      <c r="H6" s="37">
        <v>5</v>
      </c>
      <c r="I6" s="37"/>
      <c r="J6" s="37">
        <f>SUM(C6:I6)</f>
        <v>31.5</v>
      </c>
      <c r="K6" s="37"/>
      <c r="L6" s="32"/>
    </row>
    <row r="7" spans="1:12" s="7" customFormat="1" ht="30.75" customHeight="1" thickBot="1">
      <c r="A7" s="32"/>
      <c r="B7" s="34" t="s">
        <v>116</v>
      </c>
      <c r="C7" s="37"/>
      <c r="D7" s="37">
        <v>5.7</v>
      </c>
      <c r="E7" s="37">
        <v>6.6</v>
      </c>
      <c r="F7" s="37">
        <v>7</v>
      </c>
      <c r="G7" s="37">
        <v>5</v>
      </c>
      <c r="H7" s="37"/>
      <c r="I7" s="37">
        <v>5</v>
      </c>
      <c r="J7" s="37">
        <f>SUM(C7:I7)</f>
        <v>29.3</v>
      </c>
      <c r="K7" s="37"/>
      <c r="L7" s="32"/>
    </row>
    <row r="8" spans="1:12" s="7" customFormat="1" ht="30.75" customHeight="1" thickBot="1">
      <c r="A8" s="33">
        <v>224</v>
      </c>
      <c r="B8" s="45" t="s">
        <v>96</v>
      </c>
      <c r="C8" s="47"/>
      <c r="D8" s="47">
        <f>1+1.5+2+2+1</f>
        <v>7.5</v>
      </c>
      <c r="E8" s="47">
        <f>0.5+1+1+2+2</f>
        <v>6.5</v>
      </c>
      <c r="F8" s="47">
        <f>0.5+2+1+0.5+0.9</f>
        <v>4.9</v>
      </c>
      <c r="G8" s="47">
        <f>1.5+2+0.7+0.8+0.6</f>
        <v>5.6</v>
      </c>
      <c r="H8" s="47">
        <f>1+1+0.5+1+0.5</f>
        <v>4</v>
      </c>
      <c r="I8" s="47"/>
      <c r="J8" s="47">
        <f>SUM(D8:I8)</f>
        <v>28.5</v>
      </c>
      <c r="K8" s="48">
        <v>90</v>
      </c>
      <c r="L8" s="49" t="s">
        <v>124</v>
      </c>
    </row>
    <row r="9" spans="1:12" s="7" customFormat="1" ht="30.75" customHeight="1" thickBot="1">
      <c r="A9" s="33">
        <v>227</v>
      </c>
      <c r="B9" s="45" t="s">
        <v>99</v>
      </c>
      <c r="C9" s="47">
        <f>1+0.4+1+1+0.5</f>
        <v>3.9</v>
      </c>
      <c r="D9" s="47">
        <f>1+1+0+1.5+1</f>
        <v>4.5</v>
      </c>
      <c r="E9" s="47">
        <f>1+1+2+1+1</f>
        <v>6</v>
      </c>
      <c r="F9" s="47">
        <f>2+2+2+0.5+0.5</f>
        <v>7</v>
      </c>
      <c r="G9" s="47">
        <f>2+2+2+1+0.8</f>
        <v>7.8</v>
      </c>
      <c r="H9" s="47"/>
      <c r="I9" s="47"/>
      <c r="J9" s="47">
        <f>SUM(C9:I9)</f>
        <v>29.2</v>
      </c>
      <c r="K9" s="48">
        <v>89</v>
      </c>
      <c r="L9" s="49" t="s">
        <v>123</v>
      </c>
    </row>
    <row r="10" spans="1:12" s="7" customFormat="1" ht="30.75" customHeight="1" thickBot="1">
      <c r="A10" s="33">
        <v>213</v>
      </c>
      <c r="B10" s="46" t="s">
        <v>72</v>
      </c>
      <c r="C10" s="47"/>
      <c r="D10" s="47">
        <f>1.5+1.5+1+1+0.7</f>
        <v>5.7</v>
      </c>
      <c r="E10" s="47">
        <f>1.5+1+0+0.6+1</f>
        <v>4.1</v>
      </c>
      <c r="F10" s="47">
        <f>1+2+1+2+1</f>
        <v>7</v>
      </c>
      <c r="G10" s="47">
        <f>1+0.8+2+0.5+0.7</f>
        <v>5</v>
      </c>
      <c r="H10" s="47"/>
      <c r="I10" s="47">
        <f>0+1+1+1+1</f>
        <v>4</v>
      </c>
      <c r="J10" s="47">
        <f>SUM(D10:I10)</f>
        <v>25.8</v>
      </c>
      <c r="K10" s="48">
        <v>88</v>
      </c>
      <c r="L10" s="49" t="s">
        <v>123</v>
      </c>
    </row>
    <row r="11" spans="1:14" s="10" customFormat="1" ht="27" customHeight="1" thickBot="1">
      <c r="A11" s="13">
        <v>225</v>
      </c>
      <c r="B11" s="19" t="s">
        <v>97</v>
      </c>
      <c r="C11" s="23"/>
      <c r="D11" s="23">
        <f>1.5+1.5+1+1+1</f>
        <v>6</v>
      </c>
      <c r="E11" s="23">
        <f>0.5+1+1+2+2</f>
        <v>6.5</v>
      </c>
      <c r="F11" s="23">
        <f>0+2+1+0.5+0.9</f>
        <v>4.4</v>
      </c>
      <c r="G11" s="23">
        <f>1.5+2+0.7+0.8+0.6</f>
        <v>5.6</v>
      </c>
      <c r="H11" s="23">
        <f>1+1+1+1+1</f>
        <v>5</v>
      </c>
      <c r="I11" s="23"/>
      <c r="J11" s="23">
        <f>SUM(D11:I11)</f>
        <v>27.5</v>
      </c>
      <c r="K11" s="44">
        <v>87</v>
      </c>
      <c r="L11" s="24">
        <v>4</v>
      </c>
      <c r="M11" s="11"/>
      <c r="N11" s="11"/>
    </row>
    <row r="12" spans="1:14" ht="24.75" customHeight="1" thickBot="1">
      <c r="A12" s="13">
        <v>201</v>
      </c>
      <c r="B12" s="14" t="s">
        <v>79</v>
      </c>
      <c r="C12" s="23">
        <f>1+0.5+1+1+0.5</f>
        <v>4</v>
      </c>
      <c r="D12" s="23">
        <f>0.5+0.5+0+1.5+1</f>
        <v>3.5</v>
      </c>
      <c r="E12" s="23">
        <f>1+1+2+1+1</f>
        <v>6</v>
      </c>
      <c r="F12" s="23">
        <f>0+2+2+1+1.5</f>
        <v>6.5</v>
      </c>
      <c r="G12" s="23">
        <f>2+2+2+1+0.8</f>
        <v>7.8</v>
      </c>
      <c r="H12" s="23"/>
      <c r="I12" s="23"/>
      <c r="J12" s="23">
        <f>SUM(C12:I12)</f>
        <v>27.8</v>
      </c>
      <c r="K12" s="44">
        <v>85</v>
      </c>
      <c r="L12" s="28">
        <v>5</v>
      </c>
      <c r="M12" s="12"/>
      <c r="N12" s="12"/>
    </row>
    <row r="13" spans="1:14" ht="24.75" customHeight="1" thickBot="1">
      <c r="A13" s="13">
        <v>208</v>
      </c>
      <c r="B13" s="14" t="s">
        <v>33</v>
      </c>
      <c r="C13" s="23"/>
      <c r="D13" s="23">
        <f>1.5+1.5+1+1+0.7</f>
        <v>5.7</v>
      </c>
      <c r="E13" s="23">
        <f>1+0+1+0.6+1</f>
        <v>3.6</v>
      </c>
      <c r="F13" s="23">
        <f>1+1.5+1+2+0.5</f>
        <v>6</v>
      </c>
      <c r="G13" s="23">
        <f>1+0.6+2+0.4+0.7</f>
        <v>4.7</v>
      </c>
      <c r="H13" s="23"/>
      <c r="I13" s="23">
        <f>1+1+1+1+1</f>
        <v>5</v>
      </c>
      <c r="J13" s="23">
        <f>SUM(D13:I13)</f>
        <v>25</v>
      </c>
      <c r="K13" s="44">
        <v>85</v>
      </c>
      <c r="L13" s="24">
        <v>5</v>
      </c>
      <c r="M13" s="12"/>
      <c r="N13" s="12"/>
    </row>
    <row r="14" spans="1:14" ht="24.75" customHeight="1" thickBot="1">
      <c r="A14" s="13">
        <v>226</v>
      </c>
      <c r="B14" s="19" t="s">
        <v>98</v>
      </c>
      <c r="C14" s="23"/>
      <c r="D14" s="23">
        <f>1.5+1.5+2+2+1</f>
        <v>8</v>
      </c>
      <c r="E14" s="23">
        <f>0.5+1+1+2+0</f>
        <v>4.5</v>
      </c>
      <c r="F14" s="23">
        <f>0+1.5+1+0.5+0.8</f>
        <v>3.8</v>
      </c>
      <c r="G14" s="23">
        <f>1.5+2+0.6+0.8+0.6</f>
        <v>5.499999999999999</v>
      </c>
      <c r="H14" s="23">
        <f>1+1+1+0.5+1</f>
        <v>4.5</v>
      </c>
      <c r="I14" s="23"/>
      <c r="J14" s="23">
        <f>SUM(D14:I14)</f>
        <v>26.3</v>
      </c>
      <c r="K14" s="44">
        <v>83</v>
      </c>
      <c r="L14" s="24">
        <v>6</v>
      </c>
      <c r="M14" s="12"/>
      <c r="N14" s="12"/>
    </row>
    <row r="15" spans="1:12" ht="24.75" customHeight="1" thickBot="1">
      <c r="A15" s="13">
        <v>207</v>
      </c>
      <c r="B15" s="14" t="s">
        <v>41</v>
      </c>
      <c r="C15" s="23"/>
      <c r="D15" s="23">
        <f>1.5+1.5+1+1+0.7</f>
        <v>5.7</v>
      </c>
      <c r="E15" s="23">
        <f>1+0+0+0.5+1</f>
        <v>2.5</v>
      </c>
      <c r="F15" s="23">
        <f>1+1.5+1+2+0.5</f>
        <v>6</v>
      </c>
      <c r="G15" s="23">
        <f>1+0.6+2+0.4+0.7</f>
        <v>4.7</v>
      </c>
      <c r="H15" s="23"/>
      <c r="I15" s="23">
        <f>1+1+1+1+1</f>
        <v>5</v>
      </c>
      <c r="J15" s="23">
        <f>SUM(D15:I15)</f>
        <v>23.9</v>
      </c>
      <c r="K15" s="44">
        <v>82</v>
      </c>
      <c r="L15" s="24">
        <v>7</v>
      </c>
    </row>
    <row r="16" spans="1:12" ht="24.75" customHeight="1" thickBot="1">
      <c r="A16" s="13">
        <v>212</v>
      </c>
      <c r="B16" s="20" t="s">
        <v>71</v>
      </c>
      <c r="C16" s="23"/>
      <c r="D16" s="23">
        <f>1.5+1.5+1+1+0.7</f>
        <v>5.7</v>
      </c>
      <c r="E16" s="23">
        <f>1.5+1+0+0.5+1</f>
        <v>4</v>
      </c>
      <c r="F16" s="23">
        <f>1+2+1+2+1</f>
        <v>7</v>
      </c>
      <c r="G16" s="23">
        <f>1+0.7+2+0.5+0.7</f>
        <v>4.9</v>
      </c>
      <c r="H16" s="23"/>
      <c r="I16" s="23">
        <f>0+1+1+1+1</f>
        <v>4</v>
      </c>
      <c r="J16" s="23">
        <f>SUM(D16:I16)</f>
        <v>25.6</v>
      </c>
      <c r="K16" s="44">
        <v>78</v>
      </c>
      <c r="L16" s="28">
        <v>8</v>
      </c>
    </row>
    <row r="17" spans="1:12" ht="24.75" customHeight="1" thickBot="1">
      <c r="A17" s="13">
        <v>203</v>
      </c>
      <c r="B17" s="14" t="s">
        <v>42</v>
      </c>
      <c r="C17" s="23">
        <f>1+0.5+1+0+1</f>
        <v>3.5</v>
      </c>
      <c r="D17" s="23">
        <f>1+1+0+1.5+1</f>
        <v>4.5</v>
      </c>
      <c r="E17" s="23">
        <f>1+0+2+0+0.5</f>
        <v>3.5</v>
      </c>
      <c r="F17" s="23">
        <f>0+0.5+3+0.5+1.5</f>
        <v>5.5</v>
      </c>
      <c r="G17" s="23">
        <f>2+2+2+1.5+0.8</f>
        <v>8.3</v>
      </c>
      <c r="H17" s="23"/>
      <c r="I17" s="23"/>
      <c r="J17" s="23">
        <f>SUM(C17:I17)</f>
        <v>25.3</v>
      </c>
      <c r="K17" s="44">
        <v>77</v>
      </c>
      <c r="L17" s="24">
        <v>9</v>
      </c>
    </row>
    <row r="18" spans="1:12" ht="24.75" customHeight="1" thickBot="1">
      <c r="A18" s="13">
        <v>209</v>
      </c>
      <c r="B18" s="14" t="s">
        <v>38</v>
      </c>
      <c r="C18" s="23"/>
      <c r="D18" s="23">
        <f>1+0+0+0+0.7</f>
        <v>1.7</v>
      </c>
      <c r="E18" s="23">
        <f>2+1+0.5+0.5+1</f>
        <v>5</v>
      </c>
      <c r="F18" s="23">
        <f>1+2+1+2+0.5</f>
        <v>6.5</v>
      </c>
      <c r="G18" s="23">
        <f>1+0.7+2+0.5+0.7</f>
        <v>4.9</v>
      </c>
      <c r="H18" s="23"/>
      <c r="I18" s="23">
        <f>1+1+0.5+1+1</f>
        <v>4.5</v>
      </c>
      <c r="J18" s="23">
        <f>SUM(D18:I18)</f>
        <v>22.6</v>
      </c>
      <c r="K18" s="44">
        <v>77</v>
      </c>
      <c r="L18" s="24">
        <v>9</v>
      </c>
    </row>
    <row r="19" spans="1:12" ht="24.75" customHeight="1" thickBot="1">
      <c r="A19" s="13">
        <v>210</v>
      </c>
      <c r="B19" s="14" t="s">
        <v>39</v>
      </c>
      <c r="C19" s="23"/>
      <c r="D19" s="23">
        <f>1+0+0+0+0.7</f>
        <v>1.7</v>
      </c>
      <c r="E19" s="23">
        <f>2+1+0.5+0.5+1</f>
        <v>5</v>
      </c>
      <c r="F19" s="23">
        <f>1+2+1+2+0.5</f>
        <v>6.5</v>
      </c>
      <c r="G19" s="23">
        <f>1+0.7+2+0.5+0.7</f>
        <v>4.9</v>
      </c>
      <c r="H19" s="23"/>
      <c r="I19" s="23">
        <f>1+1+0.5+1+1</f>
        <v>4.5</v>
      </c>
      <c r="J19" s="23">
        <f>SUM(D19:I19)</f>
        <v>22.6</v>
      </c>
      <c r="K19" s="44">
        <v>77</v>
      </c>
      <c r="L19" s="24">
        <v>9</v>
      </c>
    </row>
    <row r="20" spans="1:12" ht="24.75" customHeight="1" thickBot="1">
      <c r="A20" s="13">
        <v>211</v>
      </c>
      <c r="B20" s="14" t="s">
        <v>40</v>
      </c>
      <c r="C20" s="23"/>
      <c r="D20" s="23">
        <f>1+0+0+0+0.7</f>
        <v>1.7</v>
      </c>
      <c r="E20" s="23">
        <f>2+1+0.5+0.5+1</f>
        <v>5</v>
      </c>
      <c r="F20" s="23">
        <f>1+2+1+2+0.5</f>
        <v>6.5</v>
      </c>
      <c r="G20" s="23">
        <f>1+0.7+2+0.5+0.7</f>
        <v>4.9</v>
      </c>
      <c r="H20" s="23"/>
      <c r="I20" s="23">
        <f>1+1+0.5+1+1</f>
        <v>4.5</v>
      </c>
      <c r="J20" s="23">
        <f>SUM(D20:I20)</f>
        <v>22.6</v>
      </c>
      <c r="K20" s="44">
        <v>77</v>
      </c>
      <c r="L20" s="24">
        <v>9</v>
      </c>
    </row>
    <row r="21" spans="1:12" ht="24.75" customHeight="1" thickBot="1">
      <c r="A21" s="13">
        <v>202</v>
      </c>
      <c r="B21" s="14" t="s">
        <v>32</v>
      </c>
      <c r="C21" s="23">
        <f>1+0.5+1+1+1</f>
        <v>4.5</v>
      </c>
      <c r="D21" s="23">
        <f>1+0.5+0+1.5+0</f>
        <v>3</v>
      </c>
      <c r="E21" s="23">
        <f>0+0+1+0.5+0.5</f>
        <v>2</v>
      </c>
      <c r="F21" s="23">
        <f>0.5+0.5+3+1+1</f>
        <v>6</v>
      </c>
      <c r="G21" s="23">
        <f>2+2+2+1+0.8</f>
        <v>7.8</v>
      </c>
      <c r="H21" s="23"/>
      <c r="I21" s="23"/>
      <c r="J21" s="23">
        <f>SUM(C21:I21)</f>
        <v>23.3</v>
      </c>
      <c r="K21" s="44">
        <v>71</v>
      </c>
      <c r="L21" s="24">
        <v>10</v>
      </c>
    </row>
    <row r="22" spans="1:12" ht="24.75" customHeight="1" thickBot="1">
      <c r="A22" s="13">
        <v>216</v>
      </c>
      <c r="B22" s="19" t="s">
        <v>78</v>
      </c>
      <c r="C22" s="23"/>
      <c r="D22" s="23">
        <f>1+1.5+1+0.5+0</f>
        <v>4</v>
      </c>
      <c r="E22" s="23">
        <f>1+0.5+1+1.5+0</f>
        <v>4</v>
      </c>
      <c r="F22" s="23">
        <f>0.5+2+0.5+0.5+0.9</f>
        <v>4.4</v>
      </c>
      <c r="G22" s="23">
        <f>1.5+1.5+0.7+0.8+0.5</f>
        <v>5</v>
      </c>
      <c r="H22" s="23">
        <f>1+0.5+0.5+1+1</f>
        <v>4</v>
      </c>
      <c r="I22" s="23"/>
      <c r="J22" s="23">
        <f>SUM(D22:I22)</f>
        <v>21.4</v>
      </c>
      <c r="K22" s="44">
        <v>68</v>
      </c>
      <c r="L22" s="24">
        <v>11</v>
      </c>
    </row>
    <row r="23" spans="1:12" ht="24.75" customHeight="1" thickBot="1">
      <c r="A23" s="13">
        <v>204</v>
      </c>
      <c r="B23" s="14" t="s">
        <v>69</v>
      </c>
      <c r="C23" s="23">
        <f>0+0.3+0+0+0</f>
        <v>0.3</v>
      </c>
      <c r="D23" s="23">
        <f>1+0+0+1.5+1</f>
        <v>3.5</v>
      </c>
      <c r="E23" s="23">
        <f>1+0+1+0+1</f>
        <v>3</v>
      </c>
      <c r="F23" s="23">
        <f>0+0+3+0+0.5</f>
        <v>3.5</v>
      </c>
      <c r="G23" s="23">
        <f>2+2+2+1.5+0.8</f>
        <v>8.3</v>
      </c>
      <c r="H23" s="23"/>
      <c r="I23" s="23"/>
      <c r="J23" s="23">
        <f aca="true" t="shared" si="0" ref="J23:J28">SUM(C23:I23)</f>
        <v>18.6</v>
      </c>
      <c r="K23" s="44">
        <v>57</v>
      </c>
      <c r="L23" s="24">
        <v>12</v>
      </c>
    </row>
    <row r="24" spans="1:12" ht="24.75" customHeight="1" thickBot="1">
      <c r="A24" s="13">
        <v>205</v>
      </c>
      <c r="B24" s="14" t="s">
        <v>30</v>
      </c>
      <c r="C24" s="23"/>
      <c r="D24" s="23">
        <f>0.5+0+0+0+0.5</f>
        <v>1</v>
      </c>
      <c r="E24" s="23">
        <f>1+0.5+0+0+0</f>
        <v>1.5</v>
      </c>
      <c r="F24" s="23">
        <f>1+1+0+0+1</f>
        <v>3</v>
      </c>
      <c r="G24" s="23">
        <f>1+0.8+2+0.4+0.6</f>
        <v>4.8</v>
      </c>
      <c r="H24" s="23"/>
      <c r="I24" s="23">
        <f>1+1+1+1+1</f>
        <v>5</v>
      </c>
      <c r="J24" s="23">
        <f t="shared" si="0"/>
        <v>15.3</v>
      </c>
      <c r="K24" s="44">
        <v>52</v>
      </c>
      <c r="L24" s="24">
        <v>13</v>
      </c>
    </row>
    <row r="25" spans="1:12" ht="24.75" customHeight="1" thickBot="1">
      <c r="A25" s="13">
        <v>222</v>
      </c>
      <c r="B25" s="19" t="s">
        <v>90</v>
      </c>
      <c r="C25" s="23">
        <f>0+0.2+0+1+0.5</f>
        <v>1.7</v>
      </c>
      <c r="D25" s="23">
        <f>1+1+0+1+0</f>
        <v>3</v>
      </c>
      <c r="E25" s="23">
        <f>1+0+1+0+1</f>
        <v>3</v>
      </c>
      <c r="F25" s="23">
        <f>0+0+0.5+0.5+0</f>
        <v>1</v>
      </c>
      <c r="G25" s="23">
        <f>0.5+1+2+0.5+0.5</f>
        <v>4.5</v>
      </c>
      <c r="H25" s="23"/>
      <c r="I25" s="23"/>
      <c r="J25" s="23">
        <f t="shared" si="0"/>
        <v>13.2</v>
      </c>
      <c r="K25" s="44">
        <v>40</v>
      </c>
      <c r="L25" s="24">
        <v>14</v>
      </c>
    </row>
    <row r="26" spans="1:12" ht="24.75" customHeight="1" thickBot="1">
      <c r="A26" s="13">
        <v>223</v>
      </c>
      <c r="B26" s="19" t="s">
        <v>91</v>
      </c>
      <c r="C26" s="23">
        <f>0+0.2+0+0+0.5</f>
        <v>0.7</v>
      </c>
      <c r="D26" s="23">
        <f>1+0+0+1+0</f>
        <v>2</v>
      </c>
      <c r="E26" s="23">
        <f>1+0+1+0+1</f>
        <v>3</v>
      </c>
      <c r="F26" s="23">
        <f>0+0+0.5+0.5+0</f>
        <v>1</v>
      </c>
      <c r="G26" s="23">
        <f>0.5+1.5+2+0.5+0.5</f>
        <v>5</v>
      </c>
      <c r="H26" s="23"/>
      <c r="I26" s="23"/>
      <c r="J26" s="23">
        <f t="shared" si="0"/>
        <v>11.7</v>
      </c>
      <c r="K26" s="44">
        <v>36</v>
      </c>
      <c r="L26" s="24">
        <v>15</v>
      </c>
    </row>
    <row r="27" spans="1:12" ht="24.75" customHeight="1" thickBot="1">
      <c r="A27" s="13">
        <v>217</v>
      </c>
      <c r="B27" s="19" t="s">
        <v>85</v>
      </c>
      <c r="C27" s="23">
        <f>0+0.1+0+0+0.5</f>
        <v>0.6</v>
      </c>
      <c r="D27" s="23">
        <f>1+0.5+0+0.5+0</f>
        <v>2</v>
      </c>
      <c r="E27" s="23">
        <f>1+0+1+0+1</f>
        <v>3</v>
      </c>
      <c r="F27" s="23">
        <f>0+0.5+0.5+0.5+0</f>
        <v>1.5</v>
      </c>
      <c r="G27" s="23">
        <f>0.5+1+2+0.5+0.1</f>
        <v>4.1</v>
      </c>
      <c r="H27" s="23"/>
      <c r="I27" s="23"/>
      <c r="J27" s="23">
        <f t="shared" si="0"/>
        <v>11.2</v>
      </c>
      <c r="K27" s="44">
        <v>34</v>
      </c>
      <c r="L27" s="24">
        <v>16</v>
      </c>
    </row>
    <row r="28" spans="1:12" ht="24.75" customHeight="1" thickBot="1">
      <c r="A28" s="13">
        <v>218</v>
      </c>
      <c r="B28" s="19" t="s">
        <v>86</v>
      </c>
      <c r="C28" s="23">
        <f>0+0.2+0+0+0.5</f>
        <v>0.7</v>
      </c>
      <c r="D28" s="23">
        <f>1+0+0+1+0</f>
        <v>2</v>
      </c>
      <c r="E28" s="23">
        <f>0+0+1+0+1</f>
        <v>2</v>
      </c>
      <c r="F28" s="23">
        <f>0+0+0.5+0.5+0</f>
        <v>1</v>
      </c>
      <c r="G28" s="23">
        <f>0.5+1.5+2+0.5+0.5</f>
        <v>5</v>
      </c>
      <c r="H28" s="23"/>
      <c r="I28" s="23"/>
      <c r="J28" s="23">
        <f t="shared" si="0"/>
        <v>10.7</v>
      </c>
      <c r="K28" s="44">
        <v>33</v>
      </c>
      <c r="L28" s="24">
        <v>17</v>
      </c>
    </row>
    <row r="29" spans="1:12" ht="24.75" customHeight="1" thickBot="1">
      <c r="A29" s="13">
        <v>206</v>
      </c>
      <c r="B29" s="14" t="s">
        <v>31</v>
      </c>
      <c r="C29" s="23"/>
      <c r="D29" s="23">
        <f>0+0+0+0+0</f>
        <v>0</v>
      </c>
      <c r="E29" s="23">
        <f>2+0.5+0+0+0</f>
        <v>2.5</v>
      </c>
      <c r="F29" s="23">
        <f>0+0.5+0+0+1</f>
        <v>1.5</v>
      </c>
      <c r="G29" s="23">
        <f>1+0.7+2+1+0</f>
        <v>4.7</v>
      </c>
      <c r="H29" s="23"/>
      <c r="I29" s="23">
        <f>0+0+1+0+0</f>
        <v>1</v>
      </c>
      <c r="J29" s="23">
        <f>SUM(D29:I29)</f>
        <v>9.7</v>
      </c>
      <c r="K29" s="44">
        <v>33</v>
      </c>
      <c r="L29" s="24">
        <v>17</v>
      </c>
    </row>
    <row r="30" spans="1:12" ht="24.75" customHeight="1" thickBot="1">
      <c r="A30" s="13">
        <v>221</v>
      </c>
      <c r="B30" s="19" t="s">
        <v>89</v>
      </c>
      <c r="C30" s="23">
        <f>0+0.1+0+0+0.5</f>
        <v>0.6</v>
      </c>
      <c r="D30" s="23">
        <f>1+0+0+1+0</f>
        <v>2</v>
      </c>
      <c r="E30" s="23">
        <f>1+0+0+0+1</f>
        <v>2</v>
      </c>
      <c r="F30" s="23">
        <f>0+0+0.5+0.5+0</f>
        <v>1</v>
      </c>
      <c r="G30" s="23">
        <f>0.5+1+2+0.5+0.5</f>
        <v>4.5</v>
      </c>
      <c r="H30" s="23"/>
      <c r="I30" s="23"/>
      <c r="J30" s="23">
        <f>SUM(C30:I30)</f>
        <v>10.1</v>
      </c>
      <c r="K30" s="44">
        <v>31</v>
      </c>
      <c r="L30" s="24">
        <v>18</v>
      </c>
    </row>
    <row r="31" spans="1:12" ht="24.75" customHeight="1" thickBot="1">
      <c r="A31" s="13">
        <v>220</v>
      </c>
      <c r="B31" s="19" t="s">
        <v>88</v>
      </c>
      <c r="C31" s="23">
        <f>0+0.2+0+0+0</f>
        <v>0.2</v>
      </c>
      <c r="D31" s="23">
        <f>0.5+0.5+0+0.5+0</f>
        <v>1.5</v>
      </c>
      <c r="E31" s="23">
        <f>1+0+0+0+0.5</f>
        <v>1.5</v>
      </c>
      <c r="F31" s="23">
        <f>0+0+0.5+0.5+0</f>
        <v>1</v>
      </c>
      <c r="G31" s="23">
        <f>0+1+1+0.5+0.5</f>
        <v>3</v>
      </c>
      <c r="H31" s="23"/>
      <c r="I31" s="23"/>
      <c r="J31" s="23">
        <f>SUM(C31:I31)</f>
        <v>7.2</v>
      </c>
      <c r="K31" s="44">
        <v>22</v>
      </c>
      <c r="L31" s="24">
        <v>19</v>
      </c>
    </row>
    <row r="32" spans="1:12" ht="24.75" customHeight="1" thickBot="1">
      <c r="A32" s="13">
        <v>219</v>
      </c>
      <c r="B32" s="19" t="s">
        <v>87</v>
      </c>
      <c r="C32" s="23">
        <f>0+0.2+0+0+0.5</f>
        <v>0.7</v>
      </c>
      <c r="D32" s="23">
        <f>1+1+0+1+0</f>
        <v>3</v>
      </c>
      <c r="E32" s="23">
        <f>1+0+0+0+0</f>
        <v>1</v>
      </c>
      <c r="F32" s="23"/>
      <c r="G32" s="23"/>
      <c r="H32" s="23"/>
      <c r="I32" s="23"/>
      <c r="J32" s="23">
        <f>SUM(C32:I32)</f>
        <v>4.7</v>
      </c>
      <c r="K32" s="44">
        <v>14</v>
      </c>
      <c r="L32" s="24">
        <v>20</v>
      </c>
    </row>
    <row r="33" ht="24.75" customHeight="1"/>
    <row r="34" ht="24.75" customHeight="1"/>
    <row r="35" ht="24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12.125" style="2" customWidth="1"/>
    <col min="2" max="2" width="59.375" style="8" customWidth="1"/>
    <col min="3" max="4" width="14.25390625" style="8" customWidth="1"/>
    <col min="5" max="5" width="14.00390625" style="8" customWidth="1"/>
    <col min="6" max="6" width="14.125" style="8" customWidth="1"/>
    <col min="7" max="7" width="13.875" style="8" customWidth="1"/>
    <col min="8" max="8" width="13.125" style="8" customWidth="1"/>
    <col min="9" max="9" width="13.25390625" style="8" customWidth="1"/>
    <col min="10" max="10" width="14.25390625" style="8" customWidth="1"/>
    <col min="11" max="11" width="12.00390625" style="8" customWidth="1"/>
    <col min="12" max="12" width="11.625" style="3" customWidth="1"/>
    <col min="13" max="13" width="14.25390625" style="3" customWidth="1"/>
    <col min="14" max="14" width="16.625" style="3" customWidth="1"/>
  </cols>
  <sheetData>
    <row r="1" ht="12.75" customHeight="1"/>
    <row r="2" spans="1:14" ht="15.75" customHeight="1">
      <c r="A2" s="1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4"/>
      <c r="M2" s="4"/>
      <c r="N2" s="4"/>
    </row>
    <row r="3" ht="13.5" customHeight="1" thickBot="1"/>
    <row r="4" spans="1:14" s="7" customFormat="1" ht="30.75" customHeight="1" thickBot="1">
      <c r="A4" s="6" t="s">
        <v>0</v>
      </c>
      <c r="B4" s="6" t="s">
        <v>1</v>
      </c>
      <c r="C4" s="6" t="s">
        <v>102</v>
      </c>
      <c r="D4" s="6" t="s">
        <v>107</v>
      </c>
      <c r="E4" s="6" t="s">
        <v>103</v>
      </c>
      <c r="F4" s="6" t="s">
        <v>104</v>
      </c>
      <c r="G4" s="6" t="s">
        <v>105</v>
      </c>
      <c r="H4" s="6" t="s">
        <v>106</v>
      </c>
      <c r="I4" s="6" t="s">
        <v>108</v>
      </c>
      <c r="J4" s="6" t="s">
        <v>118</v>
      </c>
      <c r="K4" s="6" t="s">
        <v>109</v>
      </c>
      <c r="L4" s="6" t="s">
        <v>2</v>
      </c>
      <c r="M4" s="6" t="s">
        <v>121</v>
      </c>
      <c r="N4" s="6" t="s">
        <v>3</v>
      </c>
    </row>
    <row r="5" spans="1:14" s="7" customFormat="1" ht="30.75" customHeight="1" thickBot="1">
      <c r="A5" s="32"/>
      <c r="B5" s="34" t="s">
        <v>119</v>
      </c>
      <c r="C5" s="37">
        <v>8</v>
      </c>
      <c r="D5" s="37">
        <v>3.4</v>
      </c>
      <c r="E5" s="37">
        <v>5.4</v>
      </c>
      <c r="F5" s="37">
        <v>5</v>
      </c>
      <c r="G5" s="37">
        <v>4.1</v>
      </c>
      <c r="H5" s="37">
        <v>6</v>
      </c>
      <c r="I5" s="37"/>
      <c r="J5" s="37"/>
      <c r="K5" s="37"/>
      <c r="L5" s="37">
        <f aca="true" t="shared" si="0" ref="L5:L22">SUM(C5:K5)</f>
        <v>31.9</v>
      </c>
      <c r="M5" s="37"/>
      <c r="N5" s="32"/>
    </row>
    <row r="6" spans="1:14" s="7" customFormat="1" ht="30.75" customHeight="1" thickBot="1">
      <c r="A6" s="32"/>
      <c r="B6" s="34" t="s">
        <v>120</v>
      </c>
      <c r="C6" s="37">
        <v>8</v>
      </c>
      <c r="D6" s="37"/>
      <c r="E6" s="37"/>
      <c r="F6" s="37">
        <v>7.5</v>
      </c>
      <c r="G6" s="37"/>
      <c r="H6" s="37"/>
      <c r="I6" s="37">
        <v>6</v>
      </c>
      <c r="J6" s="37">
        <v>6.5</v>
      </c>
      <c r="K6" s="37">
        <v>6</v>
      </c>
      <c r="L6" s="37">
        <f t="shared" si="0"/>
        <v>34</v>
      </c>
      <c r="M6" s="37"/>
      <c r="N6" s="32"/>
    </row>
    <row r="7" spans="1:14" s="7" customFormat="1" ht="30.75" customHeight="1" thickBot="1">
      <c r="A7" s="33">
        <v>303</v>
      </c>
      <c r="B7" s="35" t="s">
        <v>70</v>
      </c>
      <c r="C7" s="47">
        <f>2+2+2+0+0.5</f>
        <v>6.5</v>
      </c>
      <c r="D7" s="47">
        <f>0.9+0.7+0.6+0.4+0.7</f>
        <v>3.3</v>
      </c>
      <c r="E7" s="47">
        <f>1+0.3+0.5+0.4+0.5</f>
        <v>2.7</v>
      </c>
      <c r="F7" s="47">
        <f>1.5+0.5+0.5+0+0.5</f>
        <v>3</v>
      </c>
      <c r="G7" s="47">
        <f>0.8+0.6+0.8+1.1+0.7</f>
        <v>4</v>
      </c>
      <c r="H7" s="47">
        <f>2+0.5+0.5+1+0.5</f>
        <v>4.5</v>
      </c>
      <c r="I7" s="47"/>
      <c r="J7" s="47"/>
      <c r="K7" s="47"/>
      <c r="L7" s="40">
        <f t="shared" si="0"/>
        <v>24</v>
      </c>
      <c r="M7" s="41">
        <v>75</v>
      </c>
      <c r="N7" s="33" t="s">
        <v>122</v>
      </c>
    </row>
    <row r="8" spans="1:14" s="7" customFormat="1" ht="30.75" customHeight="1" thickBot="1">
      <c r="A8" s="33">
        <v>304</v>
      </c>
      <c r="B8" s="35" t="s">
        <v>21</v>
      </c>
      <c r="C8" s="47">
        <f>2+1+2+0+2</f>
        <v>7</v>
      </c>
      <c r="D8" s="47"/>
      <c r="E8" s="47"/>
      <c r="F8" s="47">
        <f>0.3+1+2+1+0.5</f>
        <v>4.8</v>
      </c>
      <c r="G8" s="47"/>
      <c r="H8" s="47"/>
      <c r="I8" s="47">
        <f>1+0.5+0+1+2</f>
        <v>4.5</v>
      </c>
      <c r="J8" s="47">
        <f>1+1+0.5+1.5+1.5</f>
        <v>5.5</v>
      </c>
      <c r="K8" s="47">
        <f>0.5+0.5+0.5+0.5+0.5</f>
        <v>2.5</v>
      </c>
      <c r="L8" s="40">
        <f t="shared" si="0"/>
        <v>24.3</v>
      </c>
      <c r="M8" s="41">
        <v>71</v>
      </c>
      <c r="N8" s="33" t="s">
        <v>123</v>
      </c>
    </row>
    <row r="9" spans="1:16" s="10" customFormat="1" ht="27" customHeight="1" thickBot="1">
      <c r="A9" s="13">
        <v>313</v>
      </c>
      <c r="B9" s="14" t="s">
        <v>37</v>
      </c>
      <c r="C9" s="23">
        <f>2+1+2+0+2</f>
        <v>7</v>
      </c>
      <c r="D9" s="23"/>
      <c r="E9" s="23"/>
      <c r="F9" s="23">
        <f>0.4+1.5+2+1.5+1</f>
        <v>6.4</v>
      </c>
      <c r="G9" s="23"/>
      <c r="H9" s="23"/>
      <c r="I9" s="23">
        <f>0+1+1+0+0</f>
        <v>2</v>
      </c>
      <c r="J9" s="23">
        <f>1+1+0+1+1.5</f>
        <v>4.5</v>
      </c>
      <c r="K9" s="23">
        <f>0.5+0.5+1.5+1+0.5</f>
        <v>4</v>
      </c>
      <c r="L9" s="26">
        <f t="shared" si="0"/>
        <v>23.9</v>
      </c>
      <c r="M9" s="31">
        <v>70</v>
      </c>
      <c r="N9" s="27" t="s">
        <v>123</v>
      </c>
      <c r="O9" s="11"/>
      <c r="P9" s="11"/>
    </row>
    <row r="10" spans="1:16" ht="24.75" customHeight="1" thickBot="1">
      <c r="A10" s="13">
        <v>302</v>
      </c>
      <c r="B10" s="14" t="s">
        <v>77</v>
      </c>
      <c r="C10" s="23">
        <f>0+1+2+0+0.5</f>
        <v>3.5</v>
      </c>
      <c r="D10" s="23">
        <f>0.9+0.5+0.6+0.4+0.6</f>
        <v>3</v>
      </c>
      <c r="E10" s="23">
        <f>0.5+0.3+0.5+0.2+1</f>
        <v>2.5</v>
      </c>
      <c r="F10" s="23">
        <f>1+0.5+0.5+1+0.5</f>
        <v>3.5</v>
      </c>
      <c r="G10" s="23">
        <f>0.8+0.6+0.8+1.1+0.6</f>
        <v>3.9000000000000004</v>
      </c>
      <c r="H10" s="23">
        <f>1.5+0.5+0.5+0.5+0.5</f>
        <v>3.5</v>
      </c>
      <c r="I10" s="23"/>
      <c r="J10" s="23"/>
      <c r="K10" s="23"/>
      <c r="L10" s="26">
        <f t="shared" si="0"/>
        <v>19.9</v>
      </c>
      <c r="M10" s="31">
        <v>62</v>
      </c>
      <c r="N10" s="27">
        <v>4</v>
      </c>
      <c r="O10" s="12"/>
      <c r="P10" s="12"/>
    </row>
    <row r="11" spans="1:16" ht="24.75" customHeight="1" thickBot="1">
      <c r="A11" s="13">
        <v>316</v>
      </c>
      <c r="B11" s="14" t="s">
        <v>94</v>
      </c>
      <c r="C11" s="23">
        <f>2+2+2+0+1</f>
        <v>7</v>
      </c>
      <c r="D11" s="23">
        <f>0.8+0.7+0.5+0.4+0.7</f>
        <v>3.0999999999999996</v>
      </c>
      <c r="E11" s="23">
        <f>0+0.4+0.5+0.2+0</f>
        <v>1.1</v>
      </c>
      <c r="F11" s="23">
        <f>0+0+0.5+1+1</f>
        <v>2.5</v>
      </c>
      <c r="G11" s="23">
        <f>0.7+0.6+0.8+1.1+0.6</f>
        <v>3.8</v>
      </c>
      <c r="H11" s="23">
        <f>0+0.5+0.5+0.5+0.5</f>
        <v>2</v>
      </c>
      <c r="I11" s="23"/>
      <c r="J11" s="23"/>
      <c r="K11" s="23"/>
      <c r="L11" s="29">
        <f t="shared" si="0"/>
        <v>19.5</v>
      </c>
      <c r="M11" s="50">
        <v>61</v>
      </c>
      <c r="N11" s="27">
        <v>5</v>
      </c>
      <c r="O11" s="12"/>
      <c r="P11" s="12"/>
    </row>
    <row r="12" spans="1:16" ht="24.75" customHeight="1" thickBot="1">
      <c r="A12" s="13">
        <v>315</v>
      </c>
      <c r="B12" s="14" t="s">
        <v>93</v>
      </c>
      <c r="C12" s="23">
        <f>2+2+2+0+0.5</f>
        <v>6.5</v>
      </c>
      <c r="D12" s="23">
        <f>0.8+0.7+0.6+0.4+0.7</f>
        <v>3.2</v>
      </c>
      <c r="E12" s="23">
        <f>0+0.4+0.3+0.2+0</f>
        <v>0.8999999999999999</v>
      </c>
      <c r="F12" s="23">
        <f>0+0+0.5+1+1</f>
        <v>2.5</v>
      </c>
      <c r="G12" s="23">
        <f>0.8+0.5+0.8+1+0.7</f>
        <v>3.8</v>
      </c>
      <c r="H12" s="23">
        <f>0.5+0.5+0.5+0.5+0.5</f>
        <v>2.5</v>
      </c>
      <c r="I12" s="23"/>
      <c r="J12" s="23"/>
      <c r="K12" s="23"/>
      <c r="L12" s="29">
        <f t="shared" si="0"/>
        <v>19.4</v>
      </c>
      <c r="M12" s="50">
        <v>61</v>
      </c>
      <c r="N12" s="27">
        <v>5</v>
      </c>
      <c r="O12" s="12"/>
      <c r="P12" s="12"/>
    </row>
    <row r="13" spans="1:14" ht="24.75" customHeight="1" thickBot="1">
      <c r="A13" s="13">
        <v>314</v>
      </c>
      <c r="B13" s="14" t="s">
        <v>92</v>
      </c>
      <c r="C13" s="23">
        <f>1.5+2+1.5+0+1</f>
        <v>6</v>
      </c>
      <c r="D13" s="23">
        <f>0.8+0.7+0.5+0.5+0.7</f>
        <v>3.2</v>
      </c>
      <c r="E13" s="23">
        <f>0+0.3+0.5+0.5+0</f>
        <v>1.3</v>
      </c>
      <c r="F13" s="23">
        <f>1+0.5+0.5+0+1</f>
        <v>3</v>
      </c>
      <c r="G13" s="23">
        <f>0.7+0.6+0.8+1.1+0.7</f>
        <v>3.8999999999999995</v>
      </c>
      <c r="H13" s="23">
        <f>0+0.5+0+0.5+0.5</f>
        <v>1.5</v>
      </c>
      <c r="I13" s="23"/>
      <c r="J13" s="23"/>
      <c r="K13" s="23"/>
      <c r="L13" s="29">
        <f t="shared" si="0"/>
        <v>18.9</v>
      </c>
      <c r="M13" s="50">
        <v>59</v>
      </c>
      <c r="N13" s="27">
        <v>6</v>
      </c>
    </row>
    <row r="14" spans="1:14" ht="24.75" customHeight="1" thickBot="1">
      <c r="A14" s="13">
        <v>307</v>
      </c>
      <c r="B14" s="14" t="s">
        <v>24</v>
      </c>
      <c r="C14" s="23">
        <f>1.5+1+2+0+2</f>
        <v>6.5</v>
      </c>
      <c r="D14" s="23"/>
      <c r="E14" s="23"/>
      <c r="F14" s="23">
        <f>0.4+0+2+0.5+0</f>
        <v>2.9</v>
      </c>
      <c r="G14" s="23"/>
      <c r="H14" s="23"/>
      <c r="I14" s="23">
        <f>1+0.5+0+0+2</f>
        <v>3.5</v>
      </c>
      <c r="J14" s="23">
        <f>1+1+0.5+0+1</f>
        <v>3.5</v>
      </c>
      <c r="K14" s="23">
        <f>0.5+0.5+0.5+0.5+0.5</f>
        <v>2.5</v>
      </c>
      <c r="L14" s="26">
        <f t="shared" si="0"/>
        <v>18.9</v>
      </c>
      <c r="M14" s="31">
        <v>56</v>
      </c>
      <c r="N14" s="27">
        <v>7</v>
      </c>
    </row>
    <row r="15" spans="1:14" ht="24.75" customHeight="1" thickBot="1">
      <c r="A15" s="13">
        <v>308</v>
      </c>
      <c r="B15" s="14" t="s">
        <v>25</v>
      </c>
      <c r="C15" s="23">
        <f>1.5+1+1.5+0+1.5</f>
        <v>5.5</v>
      </c>
      <c r="D15" s="23"/>
      <c r="E15" s="23"/>
      <c r="F15" s="23">
        <f>0.5+1+2+0+0.5</f>
        <v>4</v>
      </c>
      <c r="G15" s="23"/>
      <c r="H15" s="23"/>
      <c r="I15" s="23">
        <f>0.5+1+1+0+0</f>
        <v>2.5</v>
      </c>
      <c r="J15" s="23">
        <f>1+1+1+0.5+1.5</f>
        <v>5</v>
      </c>
      <c r="K15" s="23">
        <f>0+0.5+0+0.5+0</f>
        <v>1</v>
      </c>
      <c r="L15" s="26">
        <f t="shared" si="0"/>
        <v>18</v>
      </c>
      <c r="M15" s="31">
        <v>53</v>
      </c>
      <c r="N15" s="27">
        <v>8</v>
      </c>
    </row>
    <row r="16" spans="1:14" ht="24.75" customHeight="1" thickBot="1">
      <c r="A16" s="13">
        <v>310</v>
      </c>
      <c r="B16" s="14" t="s">
        <v>27</v>
      </c>
      <c r="C16" s="23">
        <f>1.5+1+0.5+0+1.5</f>
        <v>4.5</v>
      </c>
      <c r="D16" s="23"/>
      <c r="E16" s="23"/>
      <c r="F16" s="23">
        <f>0.3+1+2+1+0.5</f>
        <v>4.8</v>
      </c>
      <c r="G16" s="23"/>
      <c r="H16" s="23"/>
      <c r="I16" s="23">
        <f>0+1+1+0+0</f>
        <v>2</v>
      </c>
      <c r="J16" s="23">
        <f>1+1+0.5+0.5+1.5</f>
        <v>4.5</v>
      </c>
      <c r="K16" s="23">
        <f>0.5+0.5+0+0.5+0.5</f>
        <v>2</v>
      </c>
      <c r="L16" s="26">
        <f t="shared" si="0"/>
        <v>17.8</v>
      </c>
      <c r="M16" s="31">
        <v>52</v>
      </c>
      <c r="N16" s="27">
        <v>9</v>
      </c>
    </row>
    <row r="17" spans="1:14" ht="24.75" customHeight="1" thickBot="1">
      <c r="A17" s="13">
        <v>311</v>
      </c>
      <c r="B17" s="14" t="s">
        <v>28</v>
      </c>
      <c r="C17" s="23">
        <f>1.5+1+0.5+0+2</f>
        <v>5</v>
      </c>
      <c r="D17" s="23"/>
      <c r="E17" s="23"/>
      <c r="F17" s="23">
        <f>0.3+1+2+1.5+0</f>
        <v>4.8</v>
      </c>
      <c r="G17" s="23"/>
      <c r="H17" s="23"/>
      <c r="I17" s="23">
        <f>1+1+1+0+0</f>
        <v>3</v>
      </c>
      <c r="J17" s="23">
        <f>1+1+0+0+1.5</f>
        <v>3.5</v>
      </c>
      <c r="K17" s="23">
        <f>0.5+0+0.5+0+0.5</f>
        <v>1.5</v>
      </c>
      <c r="L17" s="26">
        <f t="shared" si="0"/>
        <v>17.8</v>
      </c>
      <c r="M17" s="31">
        <v>52</v>
      </c>
      <c r="N17" s="27">
        <v>9</v>
      </c>
    </row>
    <row r="18" spans="1:14" ht="24.75" customHeight="1" thickBot="1">
      <c r="A18" s="13">
        <v>309</v>
      </c>
      <c r="B18" s="14" t="s">
        <v>26</v>
      </c>
      <c r="C18" s="23">
        <f>2+1+0+0+2</f>
        <v>5</v>
      </c>
      <c r="D18" s="23"/>
      <c r="E18" s="23"/>
      <c r="F18" s="23">
        <f>0.4+1+2+0+0.5</f>
        <v>3.9</v>
      </c>
      <c r="G18" s="23"/>
      <c r="H18" s="23"/>
      <c r="I18" s="23">
        <f>0+1+1+0+0</f>
        <v>2</v>
      </c>
      <c r="J18" s="23">
        <f>1+1+0+0.5+1</f>
        <v>3.5</v>
      </c>
      <c r="K18" s="23">
        <f>0+0.5+0.5+0.5+0</f>
        <v>1.5</v>
      </c>
      <c r="L18" s="26">
        <f t="shared" si="0"/>
        <v>15.9</v>
      </c>
      <c r="M18" s="31">
        <v>47</v>
      </c>
      <c r="N18" s="27">
        <v>10</v>
      </c>
    </row>
    <row r="19" spans="1:14" ht="24.75" customHeight="1" thickBot="1">
      <c r="A19" s="13">
        <v>312</v>
      </c>
      <c r="B19" s="14" t="s">
        <v>29</v>
      </c>
      <c r="C19" s="23">
        <f>1.5+1+0+0+2</f>
        <v>4.5</v>
      </c>
      <c r="D19" s="23"/>
      <c r="E19" s="23"/>
      <c r="F19" s="23">
        <f>0.2+1+2+0+0</f>
        <v>3.2</v>
      </c>
      <c r="G19" s="23"/>
      <c r="H19" s="23"/>
      <c r="I19" s="23">
        <f>0+1+1+1+0</f>
        <v>3</v>
      </c>
      <c r="J19" s="23">
        <f>1+1+0.5+1.5</f>
        <v>4</v>
      </c>
      <c r="K19" s="23">
        <f>0.5+0.5+0+0+0</f>
        <v>1</v>
      </c>
      <c r="L19" s="26">
        <f t="shared" si="0"/>
        <v>15.7</v>
      </c>
      <c r="M19" s="31">
        <v>46</v>
      </c>
      <c r="N19" s="27">
        <v>11</v>
      </c>
    </row>
    <row r="20" spans="1:14" ht="24.75" customHeight="1" thickBot="1">
      <c r="A20" s="13">
        <v>317</v>
      </c>
      <c r="B20" s="14" t="s">
        <v>100</v>
      </c>
      <c r="C20" s="23">
        <f>1.5+2+2+0+0.5</f>
        <v>6</v>
      </c>
      <c r="D20" s="23">
        <f>0.1+0.4+0.2+0+0.1</f>
        <v>0.7999999999999999</v>
      </c>
      <c r="E20" s="23">
        <f>0+0.4+0.3+0.2+0</f>
        <v>0.8999999999999999</v>
      </c>
      <c r="F20" s="23">
        <f>1.5+0.5+0.4+0+0</f>
        <v>2.4</v>
      </c>
      <c r="G20" s="23">
        <f>0.7+0.6+0.6+0.7+0.5</f>
        <v>3.0999999999999996</v>
      </c>
      <c r="H20" s="23">
        <f>0+0+0+0.5+0.5</f>
        <v>1</v>
      </c>
      <c r="I20" s="23"/>
      <c r="J20" s="23"/>
      <c r="K20" s="23"/>
      <c r="L20" s="29">
        <f t="shared" si="0"/>
        <v>14.2</v>
      </c>
      <c r="M20" s="50">
        <v>45</v>
      </c>
      <c r="N20" s="27">
        <v>12</v>
      </c>
    </row>
    <row r="21" spans="1:14" ht="24.75" customHeight="1" thickBot="1">
      <c r="A21" s="13">
        <v>305</v>
      </c>
      <c r="B21" s="14" t="s">
        <v>22</v>
      </c>
      <c r="C21" s="23">
        <f>1+0+0+0+2</f>
        <v>3</v>
      </c>
      <c r="D21" s="23"/>
      <c r="E21" s="23"/>
      <c r="F21" s="23">
        <f>0.3+0.5+2+0.5+0</f>
        <v>3.3</v>
      </c>
      <c r="G21" s="23"/>
      <c r="H21" s="23"/>
      <c r="I21" s="23">
        <f>0+0.5+1+1+0</f>
        <v>2.5</v>
      </c>
      <c r="J21" s="23">
        <f>0+0+0+0+0</f>
        <v>0</v>
      </c>
      <c r="K21" s="23">
        <f>0+0.5+0.5+0.5+0</f>
        <v>1.5</v>
      </c>
      <c r="L21" s="26">
        <f t="shared" si="0"/>
        <v>10.3</v>
      </c>
      <c r="M21" s="31">
        <v>30</v>
      </c>
      <c r="N21" s="27">
        <v>13</v>
      </c>
    </row>
    <row r="22" spans="1:14" ht="24.75" customHeight="1" thickBot="1">
      <c r="A22" s="13">
        <v>306</v>
      </c>
      <c r="B22" s="14" t="s">
        <v>23</v>
      </c>
      <c r="C22" s="23">
        <f>1+0+0+0+2</f>
        <v>3</v>
      </c>
      <c r="D22" s="23"/>
      <c r="E22" s="23"/>
      <c r="F22" s="23">
        <f>0+1.5+1.5+0.5+0</f>
        <v>3.5</v>
      </c>
      <c r="G22" s="23"/>
      <c r="H22" s="23"/>
      <c r="I22" s="23">
        <f>0+0.5+0+1+0</f>
        <v>1.5</v>
      </c>
      <c r="J22" s="23">
        <f>0+0+0+0+0</f>
        <v>0</v>
      </c>
      <c r="K22" s="23">
        <f>0+0.5+0+0.5+0</f>
        <v>1</v>
      </c>
      <c r="L22" s="26">
        <f t="shared" si="0"/>
        <v>9</v>
      </c>
      <c r="M22" s="31">
        <v>26</v>
      </c>
      <c r="N22" s="27">
        <v>14</v>
      </c>
    </row>
    <row r="23" spans="1:14" ht="24.75" customHeight="1" thickBot="1">
      <c r="A23" s="13">
        <v>301</v>
      </c>
      <c r="B23" s="18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6"/>
      <c r="N23" s="2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2006-10-16T13:31:57Z</cp:lastPrinted>
  <dcterms:created xsi:type="dcterms:W3CDTF">2005-02-12T11:18:47Z</dcterms:created>
  <dcterms:modified xsi:type="dcterms:W3CDTF">2009-12-20T16:22:32Z</dcterms:modified>
  <cp:category/>
  <cp:version/>
  <cp:contentType/>
  <cp:contentStatus/>
</cp:coreProperties>
</file>